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60" yWindow="450" windowWidth="14550" windowHeight="15540" tabRatio="759" activeTab="1"/>
  </bookViews>
  <sheets>
    <sheet name="Rozpočet FSV" sheetId="56" r:id="rId1"/>
    <sheet name="Rozpis na instituty" sheetId="42" r:id="rId2"/>
    <sheet name="Vzdělávací činnost" sheetId="43" r:id="rId3"/>
    <sheet name="Podpora vědy" sheetId="44" r:id="rId4"/>
    <sheet name="SVV" sheetId="45" r:id="rId5"/>
    <sheet name="Fondy přehled" sheetId="57" r:id="rId6"/>
    <sheet name="Stipendijní fond" sheetId="58" r:id="rId7"/>
    <sheet name="Sociální fond" sheetId="59" r:id="rId8"/>
    <sheet name="Děkanát" sheetId="47" r:id="rId9"/>
    <sheet name="Celofakultní aktivity" sheetId="40" r:id="rId10"/>
    <sheet name="100101" sheetId="60" r:id="rId11"/>
    <sheet name="100106 studentské peníze" sheetId="61" r:id="rId12"/>
    <sheet name="100107_PR" sheetId="62" r:id="rId13"/>
    <sheet name="100030 CVI" sheetId="63" r:id="rId14"/>
    <sheet name="100140 CJP" sheetId="64" r:id="rId15"/>
    <sheet name="100170 CVI" sheetId="65" r:id="rId16"/>
    <sheet name="100180 IT" sheetId="66" r:id="rId17"/>
    <sheet name="100190_FZS" sheetId="67" r:id="rId18"/>
    <sheet name="100198 fakulta" sheetId="68" r:id="rId19"/>
    <sheet name="101040 personáloddělení fakulta" sheetId="69" r:id="rId20"/>
    <sheet name="101100 prostř děkana" sheetId="70" r:id="rId21"/>
    <sheet name="101101 zlaté kurzy" sheetId="71" r:id="rId22"/>
    <sheet name="101111_OV" sheetId="73" r:id="rId23"/>
    <sheet name="101117 SO" sheetId="74" r:id="rId24"/>
    <sheet name="600690 VaVpI" sheetId="75" r:id="rId25"/>
    <sheet name="600691 VaVpI" sheetId="76" r:id="rId26"/>
    <sheet name="VČ_A_data" sheetId="48" r:id="rId27"/>
    <sheet name="VČ_A_data_cizinci" sheetId="49" r:id="rId28"/>
    <sheet name="VČ_A_přehled" sheetId="50" r:id="rId29"/>
    <sheet name="VČ_B_data" sheetId="51" r:id="rId30"/>
    <sheet name="VČ_B_přehled" sheetId="52" r:id="rId31"/>
    <sheet name="VČ_K_data" sheetId="53" r:id="rId32"/>
    <sheet name="VČ_K_data_absolventi" sheetId="54" r:id="rId33"/>
    <sheet name="VČ_K_přehled" sheetId="55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xlfn_COUNTIFS">NA()</definedName>
    <definedName name="__xlfn_SUMIFS">NA()</definedName>
    <definedName name="Excel_BuiltIn_Print_Area_23_1">NA()</definedName>
    <definedName name="Excel_BuiltIn_Print_Area_8_1">VČ_B_data!$A$1:$C$1</definedName>
    <definedName name="Excel_BuiltIn_Print_Titles_8_1">'Podpora vědy'!#REF!</definedName>
    <definedName name="_xlnm.Print_Titles" localSheetId="29">VČ_B_data!#REF!</definedName>
    <definedName name="_xlnm.Print_Area" localSheetId="27">VČ_A_data_cizinci!$A$1:$U$18</definedName>
    <definedName name="_xlnm.Print_Area" localSheetId="28">VČ_A_přehled!$A$1:$R$24</definedName>
    <definedName name="_xlnm.Print_Area" localSheetId="29">VČ_B_data!#REF!</definedName>
  </definedNames>
  <calcPr calcId="145621"/>
</workbook>
</file>

<file path=xl/calcChain.xml><?xml version="1.0" encoding="utf-8"?>
<calcChain xmlns="http://schemas.openxmlformats.org/spreadsheetml/2006/main">
  <c r="L11" i="42" l="1"/>
  <c r="B12" i="44" l="1"/>
  <c r="C23" i="44" l="1"/>
  <c r="D23" i="44"/>
  <c r="D23" i="40" l="1"/>
  <c r="D22" i="40"/>
  <c r="D21" i="40"/>
  <c r="D17" i="65"/>
  <c r="D20" i="40" s="1"/>
  <c r="D27" i="40" s="1"/>
  <c r="E5" i="60"/>
  <c r="E5" i="66"/>
  <c r="D4" i="40"/>
  <c r="E4" i="60"/>
  <c r="D3" i="40" s="1"/>
  <c r="E3" i="68"/>
  <c r="D2" i="65"/>
  <c r="D2" i="62"/>
  <c r="E2" i="60"/>
  <c r="E3" i="60"/>
  <c r="D2" i="40" s="1"/>
  <c r="E3" i="66"/>
  <c r="E23" i="68"/>
  <c r="D19" i="40"/>
  <c r="E22" i="68"/>
  <c r="D18" i="40" s="1"/>
  <c r="E21" i="68"/>
  <c r="D13" i="65"/>
  <c r="D13" i="62"/>
  <c r="D17" i="40" s="1"/>
  <c r="E17" i="60"/>
  <c r="D5" i="67"/>
  <c r="E12" i="68"/>
  <c r="E13" i="68" s="1"/>
  <c r="E10" i="68"/>
  <c r="E20" i="68" s="1"/>
  <c r="D8" i="73"/>
  <c r="D13" i="73"/>
  <c r="D9" i="63"/>
  <c r="D15" i="63" s="1"/>
  <c r="D8" i="64"/>
  <c r="D12" i="64" s="1"/>
  <c r="D14" i="64"/>
  <c r="E16" i="70"/>
  <c r="D8" i="71"/>
  <c r="D14" i="71"/>
  <c r="D15" i="40"/>
  <c r="E17" i="68"/>
  <c r="D14" i="40"/>
  <c r="E16" i="68"/>
  <c r="D13" i="40" s="1"/>
  <c r="E15" i="68"/>
  <c r="D13" i="71"/>
  <c r="D12" i="40"/>
  <c r="D11" i="73"/>
  <c r="E13" i="60"/>
  <c r="E14" i="60"/>
  <c r="E13" i="61"/>
  <c r="E14" i="61"/>
  <c r="D11" i="63"/>
  <c r="D12" i="63" s="1"/>
  <c r="D10" i="64"/>
  <c r="D11" i="64"/>
  <c r="E13" i="66"/>
  <c r="E14" i="66"/>
  <c r="D13" i="69"/>
  <c r="D14" i="69" s="1"/>
  <c r="E13" i="70"/>
  <c r="E14" i="70"/>
  <c r="D11" i="71"/>
  <c r="D12" i="71"/>
  <c r="E13" i="75"/>
  <c r="E14" i="75"/>
  <c r="E13" i="76"/>
  <c r="E14" i="76"/>
  <c r="D10" i="73"/>
  <c r="D10" i="40"/>
  <c r="E11" i="68"/>
  <c r="D9" i="73"/>
  <c r="D10" i="63"/>
  <c r="D9" i="40" s="1"/>
  <c r="D9" i="64"/>
  <c r="E11" i="66"/>
  <c r="D8" i="65"/>
  <c r="D8" i="62"/>
  <c r="D8" i="40" s="1"/>
  <c r="E8" i="68"/>
  <c r="E9" i="68"/>
  <c r="D7" i="73"/>
  <c r="D7" i="65"/>
  <c r="D7" i="62"/>
  <c r="E9" i="60"/>
  <c r="E9" i="66"/>
  <c r="D7" i="40" s="1"/>
  <c r="D4" i="67"/>
  <c r="D9" i="69"/>
  <c r="E6" i="68"/>
  <c r="D5" i="73"/>
  <c r="D5" i="65"/>
  <c r="D5" i="62"/>
  <c r="D5" i="40" s="1"/>
  <c r="D2" i="67"/>
  <c r="E41" i="60"/>
  <c r="D2" i="47"/>
  <c r="D7" i="47"/>
  <c r="D11" i="47"/>
  <c r="D22" i="47"/>
  <c r="D23" i="47"/>
  <c r="E3" i="43"/>
  <c r="B4" i="50"/>
  <c r="C4" i="50"/>
  <c r="D4" i="50"/>
  <c r="K4" i="50"/>
  <c r="M4" i="50"/>
  <c r="B3" i="50"/>
  <c r="C3" i="50"/>
  <c r="D3" i="50"/>
  <c r="J6" i="49"/>
  <c r="M6" i="49" s="1"/>
  <c r="K6" i="49"/>
  <c r="L6" i="49"/>
  <c r="J7" i="49"/>
  <c r="M7" i="49" s="1"/>
  <c r="K7" i="49"/>
  <c r="L7" i="49"/>
  <c r="J12" i="49"/>
  <c r="M12" i="49" s="1"/>
  <c r="K12" i="49"/>
  <c r="L12" i="49"/>
  <c r="B5" i="50"/>
  <c r="C5" i="50"/>
  <c r="D5" i="50"/>
  <c r="J9" i="49"/>
  <c r="K9" i="49"/>
  <c r="M9" i="49" s="1"/>
  <c r="K5" i="50" s="1"/>
  <c r="M5" i="50" s="1"/>
  <c r="L9" i="49"/>
  <c r="B6" i="50"/>
  <c r="C6" i="50"/>
  <c r="M6" i="50" s="1"/>
  <c r="D6" i="50"/>
  <c r="J8" i="49"/>
  <c r="K8" i="49"/>
  <c r="L8" i="49"/>
  <c r="M8" i="49"/>
  <c r="J11" i="49"/>
  <c r="K11" i="49"/>
  <c r="L11" i="49"/>
  <c r="M11" i="49"/>
  <c r="J13" i="49"/>
  <c r="K13" i="49"/>
  <c r="L13" i="49"/>
  <c r="M13" i="49"/>
  <c r="K6" i="50"/>
  <c r="B7" i="50"/>
  <c r="C7" i="50"/>
  <c r="D7" i="50"/>
  <c r="J10" i="49"/>
  <c r="K10" i="49"/>
  <c r="L10" i="49"/>
  <c r="M10" i="49"/>
  <c r="K7" i="50" s="1"/>
  <c r="J14" i="49"/>
  <c r="K14" i="49"/>
  <c r="L14" i="49"/>
  <c r="M14" i="49"/>
  <c r="E4" i="50"/>
  <c r="H4" i="50" s="1"/>
  <c r="F4" i="50"/>
  <c r="I4" i="50" s="1"/>
  <c r="G4" i="50"/>
  <c r="J4" i="50" s="1"/>
  <c r="L4" i="50"/>
  <c r="E3" i="50"/>
  <c r="H3" i="50" s="1"/>
  <c r="F3" i="50"/>
  <c r="I3" i="50" s="1"/>
  <c r="G3" i="50"/>
  <c r="J3" i="50" s="1"/>
  <c r="N6" i="49"/>
  <c r="R6" i="49" s="1"/>
  <c r="O6" i="49"/>
  <c r="S6" i="49" s="1"/>
  <c r="P6" i="49"/>
  <c r="T6" i="49" s="1"/>
  <c r="N7" i="49"/>
  <c r="R7" i="49"/>
  <c r="U7" i="49" s="1"/>
  <c r="O7" i="49"/>
  <c r="S7" i="49"/>
  <c r="P7" i="49"/>
  <c r="T7" i="49"/>
  <c r="N12" i="49"/>
  <c r="R12" i="49" s="1"/>
  <c r="O12" i="49"/>
  <c r="S12" i="49" s="1"/>
  <c r="P12" i="49"/>
  <c r="T12" i="49" s="1"/>
  <c r="E5" i="50"/>
  <c r="H5" i="50"/>
  <c r="N5" i="50" s="1"/>
  <c r="F5" i="50"/>
  <c r="I5" i="50"/>
  <c r="G5" i="50"/>
  <c r="J5" i="50"/>
  <c r="N9" i="49"/>
  <c r="R9" i="49"/>
  <c r="U9" i="49" s="1"/>
  <c r="L5" i="50" s="1"/>
  <c r="O9" i="49"/>
  <c r="S9" i="49"/>
  <c r="P9" i="49"/>
  <c r="T9" i="49"/>
  <c r="E6" i="50"/>
  <c r="H6" i="50" s="1"/>
  <c r="F6" i="50"/>
  <c r="I6" i="50" s="1"/>
  <c r="G6" i="50"/>
  <c r="J6" i="50" s="1"/>
  <c r="N8" i="49"/>
  <c r="R8" i="49" s="1"/>
  <c r="O8" i="49"/>
  <c r="S8" i="49" s="1"/>
  <c r="P8" i="49"/>
  <c r="T8" i="49" s="1"/>
  <c r="U8" i="49"/>
  <c r="N11" i="49"/>
  <c r="R11" i="49"/>
  <c r="O11" i="49"/>
  <c r="S11" i="49"/>
  <c r="P11" i="49"/>
  <c r="T11" i="49"/>
  <c r="N13" i="49"/>
  <c r="R13" i="49" s="1"/>
  <c r="O13" i="49"/>
  <c r="S13" i="49" s="1"/>
  <c r="P13" i="49"/>
  <c r="T13" i="49" s="1"/>
  <c r="E7" i="50"/>
  <c r="H7" i="50"/>
  <c r="F7" i="50"/>
  <c r="I7" i="50"/>
  <c r="G7" i="50"/>
  <c r="J7" i="50"/>
  <c r="N10" i="49"/>
  <c r="R10" i="49"/>
  <c r="O10" i="49"/>
  <c r="S10" i="49"/>
  <c r="P10" i="49"/>
  <c r="T10" i="49"/>
  <c r="N14" i="49"/>
  <c r="R14" i="49" s="1"/>
  <c r="U14" i="49" s="1"/>
  <c r="O14" i="49"/>
  <c r="S14" i="49" s="1"/>
  <c r="P14" i="49"/>
  <c r="T14" i="49" s="1"/>
  <c r="M18" i="55"/>
  <c r="N36" i="53"/>
  <c r="N25" i="53" s="1"/>
  <c r="N24" i="53"/>
  <c r="N27" i="53"/>
  <c r="B16" i="53"/>
  <c r="B8" i="53" s="1"/>
  <c r="B17" i="53"/>
  <c r="B5" i="53" s="1"/>
  <c r="B4" i="53"/>
  <c r="B7" i="53"/>
  <c r="F17" i="53"/>
  <c r="F19" i="53"/>
  <c r="F6" i="53" s="1"/>
  <c r="F4" i="53"/>
  <c r="F7" i="53"/>
  <c r="T17" i="53"/>
  <c r="T5" i="53" s="1"/>
  <c r="T19" i="53"/>
  <c r="T6" i="53" s="1"/>
  <c r="T4" i="53"/>
  <c r="T7" i="53"/>
  <c r="J17" i="53"/>
  <c r="J4" i="53" s="1"/>
  <c r="J5" i="53"/>
  <c r="J8" i="53"/>
  <c r="G26" i="54"/>
  <c r="I26" i="54"/>
  <c r="G32" i="54"/>
  <c r="I32" i="54" s="1"/>
  <c r="G38" i="54"/>
  <c r="I38" i="54"/>
  <c r="C42" i="54"/>
  <c r="G21" i="54"/>
  <c r="I21" i="54"/>
  <c r="G27" i="54"/>
  <c r="I27" i="54"/>
  <c r="C41" i="54" s="1"/>
  <c r="G33" i="54"/>
  <c r="I33" i="54"/>
  <c r="G23" i="54"/>
  <c r="I23" i="54" s="1"/>
  <c r="G25" i="54"/>
  <c r="I25" i="54"/>
  <c r="G29" i="54"/>
  <c r="I29" i="54" s="1"/>
  <c r="G35" i="54"/>
  <c r="I35" i="54" s="1"/>
  <c r="G22" i="54"/>
  <c r="I22" i="54" s="1"/>
  <c r="G24" i="54"/>
  <c r="I24" i="54"/>
  <c r="C45" i="54" s="1"/>
  <c r="G28" i="54"/>
  <c r="I28" i="54" s="1"/>
  <c r="G30" i="54"/>
  <c r="I30" i="54"/>
  <c r="G31" i="54"/>
  <c r="I31" i="54" s="1"/>
  <c r="G34" i="54"/>
  <c r="I34" i="54"/>
  <c r="G36" i="54"/>
  <c r="I36" i="54" s="1"/>
  <c r="H36" i="54"/>
  <c r="G37" i="54"/>
  <c r="H37" i="54"/>
  <c r="N17" i="53"/>
  <c r="O9" i="53"/>
  <c r="B36" i="53"/>
  <c r="B24" i="53"/>
  <c r="B26" i="53"/>
  <c r="B27" i="53"/>
  <c r="F36" i="53"/>
  <c r="F24" i="53" s="1"/>
  <c r="F25" i="53"/>
  <c r="F26" i="53"/>
  <c r="F27" i="53"/>
  <c r="F28" i="53"/>
  <c r="J36" i="53"/>
  <c r="J26" i="53" s="1"/>
  <c r="J25" i="53"/>
  <c r="J24" i="53"/>
  <c r="J29" i="53" s="1"/>
  <c r="M26" i="53" s="1"/>
  <c r="K6" i="55" s="1"/>
  <c r="J27" i="53"/>
  <c r="J28" i="53"/>
  <c r="B3" i="52"/>
  <c r="F46" i="51"/>
  <c r="C3" i="52"/>
  <c r="B38" i="51"/>
  <c r="D5" i="52" s="1"/>
  <c r="D3" i="52"/>
  <c r="B2" i="52"/>
  <c r="B4" i="52"/>
  <c r="B5" i="52"/>
  <c r="B6" i="52"/>
  <c r="F45" i="51"/>
  <c r="C2" i="52"/>
  <c r="F47" i="51"/>
  <c r="C4" i="52" s="1"/>
  <c r="F48" i="51"/>
  <c r="C5" i="52" s="1"/>
  <c r="C7" i="52" s="1"/>
  <c r="F49" i="51"/>
  <c r="C6" i="52" s="1"/>
  <c r="D2" i="52"/>
  <c r="M27" i="53"/>
  <c r="K7" i="55" s="1"/>
  <c r="M24" i="53"/>
  <c r="K4" i="55" s="1"/>
  <c r="M28" i="53"/>
  <c r="K8" i="55" s="1"/>
  <c r="I6" i="43"/>
  <c r="J6" i="43"/>
  <c r="G6" i="43"/>
  <c r="E33" i="60"/>
  <c r="D40" i="65"/>
  <c r="E16" i="76"/>
  <c r="E19" i="76"/>
  <c r="E16" i="75"/>
  <c r="E19" i="75"/>
  <c r="D15" i="74"/>
  <c r="D19" i="73"/>
  <c r="D16" i="73"/>
  <c r="D6" i="73"/>
  <c r="D18" i="73" s="1"/>
  <c r="D2" i="73"/>
  <c r="E19" i="70"/>
  <c r="D17" i="69"/>
  <c r="E24" i="68"/>
  <c r="E19" i="68"/>
  <c r="E18" i="68"/>
  <c r="E7" i="68"/>
  <c r="E2" i="68"/>
  <c r="D6" i="67"/>
  <c r="D3" i="67"/>
  <c r="E18" i="66"/>
  <c r="E16" i="66"/>
  <c r="E19" i="66" s="1"/>
  <c r="D14" i="65"/>
  <c r="D6" i="65"/>
  <c r="D20" i="64"/>
  <c r="D21" i="63"/>
  <c r="D14" i="62"/>
  <c r="D6" i="62"/>
  <c r="E17" i="61"/>
  <c r="E20" i="61" s="1"/>
  <c r="E18" i="60"/>
  <c r="E16" i="60"/>
  <c r="D15" i="65"/>
  <c r="D19" i="64"/>
  <c r="E19" i="60"/>
  <c r="D15" i="62"/>
  <c r="D9" i="67"/>
  <c r="D20" i="69"/>
  <c r="D16" i="71"/>
  <c r="F27" i="56"/>
  <c r="H27" i="56" s="1"/>
  <c r="I27" i="56" s="1"/>
  <c r="H28" i="56"/>
  <c r="F29" i="56"/>
  <c r="G18" i="57"/>
  <c r="G19" i="57"/>
  <c r="F17" i="44"/>
  <c r="F18" i="44"/>
  <c r="F19" i="44"/>
  <c r="F20" i="44"/>
  <c r="F21" i="44"/>
  <c r="F16" i="44"/>
  <c r="E23" i="44"/>
  <c r="B23" i="44"/>
  <c r="C12" i="44"/>
  <c r="C5" i="44"/>
  <c r="C7" i="45"/>
  <c r="D7" i="45" s="1"/>
  <c r="F5" i="42"/>
  <c r="F4" i="42"/>
  <c r="F3" i="42"/>
  <c r="E15" i="57"/>
  <c r="E26" i="57" s="1"/>
  <c r="E2" i="57"/>
  <c r="F12" i="57"/>
  <c r="G12" i="57"/>
  <c r="G14" i="57"/>
  <c r="G5" i="57"/>
  <c r="G6" i="57"/>
  <c r="G7" i="57"/>
  <c r="G8" i="57"/>
  <c r="G9" i="57"/>
  <c r="G10" i="57"/>
  <c r="G11" i="57"/>
  <c r="G13" i="57"/>
  <c r="G4" i="57"/>
  <c r="F2" i="57"/>
  <c r="F26" i="57"/>
  <c r="D21" i="47"/>
  <c r="D15" i="47"/>
  <c r="D20" i="47"/>
  <c r="D25" i="56"/>
  <c r="C14" i="56"/>
  <c r="C5" i="56"/>
  <c r="E5" i="56" s="1"/>
  <c r="E39" i="56"/>
  <c r="I39" i="56" s="1"/>
  <c r="E38" i="56"/>
  <c r="C32" i="56"/>
  <c r="C5" i="59"/>
  <c r="C13" i="59"/>
  <c r="D2" i="59"/>
  <c r="D5" i="59"/>
  <c r="B5" i="59"/>
  <c r="B13" i="59"/>
  <c r="D13" i="59"/>
  <c r="C4" i="58"/>
  <c r="C11" i="58"/>
  <c r="D2" i="58"/>
  <c r="D11" i="58" s="1"/>
  <c r="B4" i="58"/>
  <c r="B11" i="58" s="1"/>
  <c r="D4" i="58"/>
  <c r="L4" i="42"/>
  <c r="M4" i="42" s="1"/>
  <c r="D2" i="57"/>
  <c r="G16" i="57"/>
  <c r="M11" i="42"/>
  <c r="O11" i="42"/>
  <c r="H5" i="56"/>
  <c r="E6" i="56"/>
  <c r="H6" i="56"/>
  <c r="I6" i="56" s="1"/>
  <c r="E7" i="56"/>
  <c r="E8" i="56"/>
  <c r="H8" i="56"/>
  <c r="E9" i="56"/>
  <c r="H9" i="56"/>
  <c r="E10" i="56"/>
  <c r="H10" i="56"/>
  <c r="E11" i="56"/>
  <c r="I11" i="56" s="1"/>
  <c r="H11" i="56"/>
  <c r="E12" i="56"/>
  <c r="H12" i="56"/>
  <c r="E13" i="56"/>
  <c r="H13" i="56"/>
  <c r="E14" i="56"/>
  <c r="H14" i="56"/>
  <c r="I14" i="56" s="1"/>
  <c r="E15" i="56"/>
  <c r="H15" i="56"/>
  <c r="E16" i="56"/>
  <c r="H16" i="56"/>
  <c r="E17" i="56"/>
  <c r="I17" i="56" s="1"/>
  <c r="H17" i="56"/>
  <c r="E18" i="56"/>
  <c r="E21" i="56" s="1"/>
  <c r="I21" i="56" s="1"/>
  <c r="H18" i="56"/>
  <c r="E19" i="56"/>
  <c r="H19" i="56"/>
  <c r="E20" i="56"/>
  <c r="I20" i="56" s="1"/>
  <c r="H20" i="56"/>
  <c r="D21" i="56"/>
  <c r="D35" i="56"/>
  <c r="F21" i="56"/>
  <c r="F35" i="56"/>
  <c r="E24" i="56"/>
  <c r="H24" i="56"/>
  <c r="H32" i="56" s="1"/>
  <c r="H25" i="56"/>
  <c r="E26" i="56"/>
  <c r="H26" i="56"/>
  <c r="E27" i="56"/>
  <c r="E29" i="56"/>
  <c r="I29" i="56" s="1"/>
  <c r="H29" i="56"/>
  <c r="E30" i="56"/>
  <c r="H30" i="56"/>
  <c r="E31" i="56"/>
  <c r="H31" i="56"/>
  <c r="C34" i="56"/>
  <c r="F32" i="56"/>
  <c r="F34" i="56" s="1"/>
  <c r="H34" i="56" s="1"/>
  <c r="G32" i="56"/>
  <c r="G34" i="56"/>
  <c r="H38" i="56"/>
  <c r="I38" i="56" s="1"/>
  <c r="H39" i="56"/>
  <c r="L6" i="42"/>
  <c r="N6" i="42" s="1"/>
  <c r="L5" i="42"/>
  <c r="N5" i="42" s="1"/>
  <c r="L9" i="55"/>
  <c r="C7" i="54"/>
  <c r="E20" i="54"/>
  <c r="F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B41" i="54"/>
  <c r="D41" i="54" s="1"/>
  <c r="B42" i="54"/>
  <c r="B43" i="54"/>
  <c r="B44" i="54"/>
  <c r="B45" i="54"/>
  <c r="R17" i="53"/>
  <c r="R7" i="53"/>
  <c r="N30" i="51"/>
  <c r="F44" i="51"/>
  <c r="H2" i="50"/>
  <c r="I2" i="50"/>
  <c r="J15" i="49"/>
  <c r="N15" i="49" s="1"/>
  <c r="K15" i="49"/>
  <c r="O15" i="49" s="1"/>
  <c r="S15" i="49" s="1"/>
  <c r="L15" i="49"/>
  <c r="L16" i="49" s="1"/>
  <c r="F16" i="49"/>
  <c r="G16" i="49"/>
  <c r="H16" i="49"/>
  <c r="I16" i="49"/>
  <c r="D2" i="45"/>
  <c r="D3" i="45"/>
  <c r="D4" i="45"/>
  <c r="D5" i="45"/>
  <c r="B7" i="45"/>
  <c r="B5" i="44"/>
  <c r="O3" i="42"/>
  <c r="O9" i="42" s="1"/>
  <c r="O4" i="42"/>
  <c r="O5" i="42"/>
  <c r="F6" i="42"/>
  <c r="O6" i="42"/>
  <c r="F7" i="42"/>
  <c r="O7" i="42"/>
  <c r="B9" i="42"/>
  <c r="K9" i="42"/>
  <c r="R5" i="53"/>
  <c r="R4" i="53"/>
  <c r="R8" i="53"/>
  <c r="G2" i="57"/>
  <c r="D26" i="57"/>
  <c r="I9" i="56"/>
  <c r="G21" i="56"/>
  <c r="G35" i="56"/>
  <c r="G36" i="56" s="1"/>
  <c r="L7" i="42"/>
  <c r="N7" i="42" s="1"/>
  <c r="I13" i="56"/>
  <c r="I16" i="56"/>
  <c r="J16" i="49"/>
  <c r="B46" i="54"/>
  <c r="D44" i="54" s="1"/>
  <c r="B8" i="50"/>
  <c r="C8" i="50"/>
  <c r="D8" i="50"/>
  <c r="I19" i="56"/>
  <c r="I15" i="56"/>
  <c r="I31" i="56"/>
  <c r="I30" i="56"/>
  <c r="I12" i="56"/>
  <c r="I10" i="56"/>
  <c r="I8" i="56"/>
  <c r="J8" i="50"/>
  <c r="G8" i="50"/>
  <c r="F8" i="50"/>
  <c r="J20" i="54"/>
  <c r="R6" i="53"/>
  <c r="H21" i="56"/>
  <c r="C11" i="42"/>
  <c r="P11" i="42" s="1"/>
  <c r="R11" i="42" s="1"/>
  <c r="G3" i="43"/>
  <c r="Q13" i="49"/>
  <c r="Q12" i="49"/>
  <c r="Q9" i="49"/>
  <c r="Q6" i="49"/>
  <c r="I8" i="50"/>
  <c r="Q10" i="49"/>
  <c r="Q7" i="49"/>
  <c r="H8" i="50"/>
  <c r="F36" i="56"/>
  <c r="D43" i="54"/>
  <c r="Q14" i="49"/>
  <c r="D6" i="45"/>
  <c r="F50" i="51"/>
  <c r="D42" i="54"/>
  <c r="K16" i="49"/>
  <c r="M15" i="49"/>
  <c r="M16" i="49" s="1"/>
  <c r="E8" i="50"/>
  <c r="I5" i="56"/>
  <c r="D11" i="42"/>
  <c r="Q11" i="42" s="1"/>
  <c r="D45" i="54"/>
  <c r="R15" i="49"/>
  <c r="Q8" i="49"/>
  <c r="L3" i="42"/>
  <c r="Q11" i="49"/>
  <c r="N16" i="49"/>
  <c r="O16" i="49"/>
  <c r="R16" i="49"/>
  <c r="S16" i="49"/>
  <c r="L9" i="42" l="1"/>
  <c r="M5" i="42"/>
  <c r="M7" i="42"/>
  <c r="M3" i="42"/>
  <c r="G26" i="57"/>
  <c r="D46" i="54"/>
  <c r="M9" i="42"/>
  <c r="H35" i="56"/>
  <c r="P15" i="49"/>
  <c r="E25" i="56"/>
  <c r="D32" i="56"/>
  <c r="D34" i="56" s="1"/>
  <c r="N4" i="42"/>
  <c r="B7" i="52"/>
  <c r="C44" i="54"/>
  <c r="N3" i="42"/>
  <c r="E25" i="68"/>
  <c r="E11" i="42"/>
  <c r="M6" i="42"/>
  <c r="R9" i="53"/>
  <c r="G15" i="57"/>
  <c r="H26" i="57" s="1"/>
  <c r="N5" i="53"/>
  <c r="N8" i="53"/>
  <c r="N4" i="53"/>
  <c r="N6" i="53"/>
  <c r="N7" i="53"/>
  <c r="L6" i="50"/>
  <c r="N6" i="50" s="1"/>
  <c r="J9" i="53"/>
  <c r="U13" i="49"/>
  <c r="U12" i="49"/>
  <c r="N4" i="50"/>
  <c r="D16" i="40"/>
  <c r="D6" i="52"/>
  <c r="M25" i="53"/>
  <c r="I37" i="54"/>
  <c r="J7" i="53"/>
  <c r="U10" i="49"/>
  <c r="L7" i="50" s="1"/>
  <c r="N7" i="50" s="1"/>
  <c r="U11" i="49"/>
  <c r="U6" i="49"/>
  <c r="M7" i="50"/>
  <c r="C21" i="56"/>
  <c r="C35" i="56" s="1"/>
  <c r="D4" i="52"/>
  <c r="F29" i="53"/>
  <c r="B25" i="53"/>
  <c r="B28" i="53"/>
  <c r="J6" i="53"/>
  <c r="F5" i="53"/>
  <c r="K3" i="50"/>
  <c r="D11" i="40"/>
  <c r="D26" i="40"/>
  <c r="E4" i="43" s="1"/>
  <c r="B6" i="53"/>
  <c r="N26" i="53"/>
  <c r="T8" i="53"/>
  <c r="F8" i="53"/>
  <c r="N28" i="53"/>
  <c r="D13" i="63"/>
  <c r="D20" i="63" s="1"/>
  <c r="E26" i="40" s="1"/>
  <c r="E14" i="68"/>
  <c r="D6" i="43" l="1"/>
  <c r="B6" i="43"/>
  <c r="E28" i="53"/>
  <c r="I8" i="55" s="1"/>
  <c r="I20" i="54"/>
  <c r="C47" i="54" s="1"/>
  <c r="C43" i="54"/>
  <c r="T15" i="49"/>
  <c r="P16" i="49"/>
  <c r="D7" i="52"/>
  <c r="T9" i="53"/>
  <c r="U8" i="53"/>
  <c r="E8" i="55" s="1"/>
  <c r="I5" i="53"/>
  <c r="D5" i="55" s="1"/>
  <c r="I25" i="53"/>
  <c r="J5" i="55" s="1"/>
  <c r="I24" i="53"/>
  <c r="I27" i="53"/>
  <c r="J7" i="55" s="1"/>
  <c r="I28" i="53"/>
  <c r="J8" i="55" s="1"/>
  <c r="M4" i="53"/>
  <c r="M8" i="53"/>
  <c r="F8" i="55" s="1"/>
  <c r="M5" i="53"/>
  <c r="F5" i="55" s="1"/>
  <c r="I26" i="53"/>
  <c r="J6" i="55" s="1"/>
  <c r="D36" i="56"/>
  <c r="E34" i="56"/>
  <c r="I34" i="56" s="1"/>
  <c r="H36" i="56"/>
  <c r="L3" i="50"/>
  <c r="B9" i="53"/>
  <c r="K5" i="55"/>
  <c r="M29" i="53"/>
  <c r="S7" i="53"/>
  <c r="S6" i="53"/>
  <c r="S4" i="53"/>
  <c r="S5" i="53"/>
  <c r="S8" i="53"/>
  <c r="B29" i="53"/>
  <c r="E35" i="56"/>
  <c r="I35" i="56" s="1"/>
  <c r="C36" i="56"/>
  <c r="E36" i="56" s="1"/>
  <c r="N29" i="53"/>
  <c r="O28" i="53" s="1"/>
  <c r="B8" i="55" s="1"/>
  <c r="M3" i="50"/>
  <c r="M8" i="50" s="1"/>
  <c r="K8" i="50"/>
  <c r="M6" i="53"/>
  <c r="F6" i="55" s="1"/>
  <c r="M7" i="53"/>
  <c r="F7" i="55" s="1"/>
  <c r="N9" i="53"/>
  <c r="Q5" i="53" s="1"/>
  <c r="H5" i="55" s="1"/>
  <c r="Q15" i="49"/>
  <c r="Q16" i="49" s="1"/>
  <c r="F9" i="53"/>
  <c r="I25" i="56"/>
  <c r="E32" i="56"/>
  <c r="I32" i="56" s="1"/>
  <c r="Q6" i="53" l="1"/>
  <c r="H6" i="55" s="1"/>
  <c r="H14" i="55" s="1"/>
  <c r="E7" i="53"/>
  <c r="C7" i="55" s="1"/>
  <c r="C15" i="55" s="1"/>
  <c r="E8" i="53"/>
  <c r="C8" i="55" s="1"/>
  <c r="E4" i="53"/>
  <c r="E5" i="53"/>
  <c r="C5" i="55" s="1"/>
  <c r="D13" i="55"/>
  <c r="U15" i="49"/>
  <c r="U16" i="49" s="1"/>
  <c r="T16" i="49"/>
  <c r="E2" i="52"/>
  <c r="E5" i="52"/>
  <c r="C10" i="43" s="1"/>
  <c r="E19" i="50"/>
  <c r="E6" i="43"/>
  <c r="Q4" i="53"/>
  <c r="Q7" i="53"/>
  <c r="H7" i="55" s="1"/>
  <c r="E43" i="54"/>
  <c r="B4" i="54" s="1"/>
  <c r="D4" i="54" s="1"/>
  <c r="G6" i="55" s="1"/>
  <c r="G14" i="55" s="1"/>
  <c r="C46" i="54"/>
  <c r="E6" i="52"/>
  <c r="C11" i="43" s="1"/>
  <c r="Q8" i="53"/>
  <c r="H8" i="55" s="1"/>
  <c r="H16" i="55" s="1"/>
  <c r="J16" i="55"/>
  <c r="I36" i="56"/>
  <c r="E16" i="55"/>
  <c r="E6" i="53"/>
  <c r="C6" i="55" s="1"/>
  <c r="D19" i="55"/>
  <c r="J19" i="55"/>
  <c r="J15" i="55" s="1"/>
  <c r="I19" i="55"/>
  <c r="I16" i="55" s="1"/>
  <c r="G19" i="55"/>
  <c r="H19" i="55"/>
  <c r="H13" i="55" s="1"/>
  <c r="L19" i="55"/>
  <c r="F19" i="55"/>
  <c r="F16" i="55" s="1"/>
  <c r="B19" i="55"/>
  <c r="B16" i="55" s="1"/>
  <c r="E19" i="55"/>
  <c r="C19" i="55"/>
  <c r="K19" i="55"/>
  <c r="I6" i="53"/>
  <c r="D6" i="55" s="1"/>
  <c r="I7" i="53"/>
  <c r="D7" i="55" s="1"/>
  <c r="D15" i="55" s="1"/>
  <c r="I4" i="53"/>
  <c r="O27" i="53"/>
  <c r="B7" i="55" s="1"/>
  <c r="B15" i="55" s="1"/>
  <c r="O24" i="53"/>
  <c r="O25" i="53"/>
  <c r="B5" i="55" s="1"/>
  <c r="B13" i="55" s="1"/>
  <c r="S9" i="53"/>
  <c r="L8" i="50"/>
  <c r="N3" i="50"/>
  <c r="N8" i="50" s="1"/>
  <c r="J4" i="55"/>
  <c r="I29" i="53"/>
  <c r="U6" i="53"/>
  <c r="E6" i="55" s="1"/>
  <c r="U7" i="53"/>
  <c r="E7" i="55" s="1"/>
  <c r="E15" i="55" s="1"/>
  <c r="U4" i="53"/>
  <c r="U5" i="53"/>
  <c r="E5" i="55" s="1"/>
  <c r="E13" i="55" s="1"/>
  <c r="I8" i="53"/>
  <c r="D8" i="55" s="1"/>
  <c r="O26" i="53"/>
  <c r="B6" i="55" s="1"/>
  <c r="B14" i="55" s="1"/>
  <c r="E26" i="53"/>
  <c r="I6" i="55" s="1"/>
  <c r="I14" i="55" s="1"/>
  <c r="E27" i="53"/>
  <c r="I7" i="55" s="1"/>
  <c r="E24" i="53"/>
  <c r="K9" i="55"/>
  <c r="E25" i="53"/>
  <c r="I5" i="55" s="1"/>
  <c r="M9" i="53"/>
  <c r="F4" i="55"/>
  <c r="J13" i="55"/>
  <c r="E3" i="52"/>
  <c r="C8" i="43" s="1"/>
  <c r="E4" i="52"/>
  <c r="C9" i="43" s="1"/>
  <c r="C7" i="43" l="1"/>
  <c r="C13" i="43" s="1"/>
  <c r="E7" i="52"/>
  <c r="J14" i="55"/>
  <c r="C13" i="55"/>
  <c r="K12" i="55"/>
  <c r="K16" i="55"/>
  <c r="K15" i="55"/>
  <c r="K14" i="55"/>
  <c r="K13" i="55"/>
  <c r="J12" i="55"/>
  <c r="J9" i="55"/>
  <c r="I4" i="55"/>
  <c r="E29" i="53"/>
  <c r="F13" i="55"/>
  <c r="E21" i="50"/>
  <c r="E22" i="50"/>
  <c r="C4" i="55"/>
  <c r="E9" i="53"/>
  <c r="Q9" i="53"/>
  <c r="H4" i="55"/>
  <c r="F9" i="55"/>
  <c r="F12" i="55"/>
  <c r="E4" i="55"/>
  <c r="U9" i="53"/>
  <c r="D4" i="55"/>
  <c r="I9" i="53"/>
  <c r="L13" i="55"/>
  <c r="L14" i="55"/>
  <c r="L15" i="55"/>
  <c r="L12" i="55"/>
  <c r="L16" i="55"/>
  <c r="F15" i="55"/>
  <c r="M15" i="55" s="1"/>
  <c r="D10" i="43" s="1"/>
  <c r="F14" i="55"/>
  <c r="I13" i="55"/>
  <c r="I15" i="55"/>
  <c r="D16" i="55"/>
  <c r="E14" i="55"/>
  <c r="B4" i="55"/>
  <c r="O29" i="53"/>
  <c r="D14" i="55"/>
  <c r="M14" i="55" s="1"/>
  <c r="D9" i="43" s="1"/>
  <c r="M19" i="55"/>
  <c r="C14" i="55"/>
  <c r="E41" i="54"/>
  <c r="E42" i="54"/>
  <c r="B3" i="54" s="1"/>
  <c r="D3" i="54" s="1"/>
  <c r="G5" i="55" s="1"/>
  <c r="G13" i="55" s="1"/>
  <c r="M13" i="55" s="1"/>
  <c r="D8" i="43" s="1"/>
  <c r="E45" i="54"/>
  <c r="B6" i="54" s="1"/>
  <c r="D6" i="54" s="1"/>
  <c r="G8" i="55" s="1"/>
  <c r="G16" i="55" s="1"/>
  <c r="E44" i="54"/>
  <c r="B5" i="54" s="1"/>
  <c r="D5" i="54" s="1"/>
  <c r="G7" i="55" s="1"/>
  <c r="G15" i="55" s="1"/>
  <c r="H15" i="55"/>
  <c r="C16" i="55"/>
  <c r="M16" i="55" s="1"/>
  <c r="D11" i="43" s="1"/>
  <c r="B2" i="54" l="1"/>
  <c r="E46" i="54"/>
  <c r="P4" i="50"/>
  <c r="P5" i="50"/>
  <c r="P3" i="50"/>
  <c r="P6" i="50"/>
  <c r="P7" i="50"/>
  <c r="H9" i="55"/>
  <c r="H12" i="55"/>
  <c r="C12" i="55"/>
  <c r="C9" i="55"/>
  <c r="E12" i="55"/>
  <c r="E9" i="55"/>
  <c r="B12" i="55"/>
  <c r="B9" i="55"/>
  <c r="O4" i="50"/>
  <c r="Q4" i="50" s="1"/>
  <c r="B8" i="43" s="1"/>
  <c r="E8" i="43" s="1"/>
  <c r="O5" i="50"/>
  <c r="O6" i="50"/>
  <c r="O3" i="50"/>
  <c r="O7" i="50"/>
  <c r="Q7" i="50" s="1"/>
  <c r="B11" i="43" s="1"/>
  <c r="E11" i="43" s="1"/>
  <c r="I9" i="55"/>
  <c r="I12" i="55"/>
  <c r="D12" i="55"/>
  <c r="D9" i="55"/>
  <c r="H11" i="43" l="1"/>
  <c r="K11" i="43" s="1"/>
  <c r="C7" i="42"/>
  <c r="H8" i="43"/>
  <c r="K8" i="43" s="1"/>
  <c r="C4" i="42"/>
  <c r="O8" i="50"/>
  <c r="Q3" i="50"/>
  <c r="Q6" i="50"/>
  <c r="B10" i="43" s="1"/>
  <c r="E10" i="43" s="1"/>
  <c r="Q5" i="50"/>
  <c r="B9" i="43" s="1"/>
  <c r="E9" i="43" s="1"/>
  <c r="P8" i="50"/>
  <c r="D2" i="54"/>
  <c r="B7" i="54"/>
  <c r="C5" i="42" l="1"/>
  <c r="H9" i="43"/>
  <c r="K9" i="43" s="1"/>
  <c r="E4" i="42"/>
  <c r="D4" i="42"/>
  <c r="G4" i="42"/>
  <c r="H4" i="42" s="1"/>
  <c r="G4" i="55"/>
  <c r="D7" i="54"/>
  <c r="H10" i="43"/>
  <c r="K10" i="43" s="1"/>
  <c r="C6" i="42"/>
  <c r="B7" i="43"/>
  <c r="Q8" i="50"/>
  <c r="G7" i="42"/>
  <c r="H7" i="42" s="1"/>
  <c r="D7" i="42"/>
  <c r="E7" i="42"/>
  <c r="E6" i="42" l="1"/>
  <c r="D6" i="42"/>
  <c r="G6" i="42"/>
  <c r="H6" i="42" s="1"/>
  <c r="J7" i="42"/>
  <c r="I7" i="42"/>
  <c r="P7" i="42"/>
  <c r="B13" i="43"/>
  <c r="E7" i="43"/>
  <c r="G12" i="55"/>
  <c r="M12" i="55" s="1"/>
  <c r="D7" i="43" s="1"/>
  <c r="D13" i="43" s="1"/>
  <c r="G9" i="55"/>
  <c r="I4" i="42"/>
  <c r="P4" i="42"/>
  <c r="J4" i="42"/>
  <c r="D5" i="42"/>
  <c r="G5" i="42"/>
  <c r="H5" i="42" s="1"/>
  <c r="E5" i="42"/>
  <c r="Q4" i="42" l="1"/>
  <c r="R4" i="42"/>
  <c r="C3" i="42"/>
  <c r="E13" i="43"/>
  <c r="H7" i="43"/>
  <c r="P5" i="42"/>
  <c r="I5" i="42"/>
  <c r="J5" i="42"/>
  <c r="P6" i="42"/>
  <c r="J6" i="42"/>
  <c r="I6" i="42"/>
  <c r="R7" i="42"/>
  <c r="Q7" i="42"/>
  <c r="D3" i="42" l="1"/>
  <c r="D9" i="42" s="1"/>
  <c r="E3" i="42"/>
  <c r="C9" i="42"/>
  <c r="E9" i="42" s="1"/>
  <c r="G3" i="42"/>
  <c r="H3" i="42" s="1"/>
  <c r="R5" i="42"/>
  <c r="Q5" i="42"/>
  <c r="R6" i="42"/>
  <c r="Q6" i="42"/>
  <c r="K7" i="43"/>
  <c r="K6" i="43" s="1"/>
  <c r="H6" i="43"/>
  <c r="P3" i="42" l="1"/>
  <c r="I3" i="42"/>
  <c r="I9" i="42" s="1"/>
  <c r="B13" i="42" s="1"/>
  <c r="J3" i="42"/>
  <c r="H9" i="42"/>
  <c r="J9" i="42" s="1"/>
  <c r="Q3" i="42" l="1"/>
  <c r="Q9" i="42" s="1"/>
  <c r="R3" i="42"/>
  <c r="P9" i="42"/>
  <c r="R9" i="42" s="1"/>
</calcChain>
</file>

<file path=xl/comments1.xml><?xml version="1.0" encoding="utf-8"?>
<comments xmlns="http://schemas.openxmlformats.org/spreadsheetml/2006/main">
  <authors>
    <author>POKUSNY UCET,ZAM,CIVT</author>
  </authors>
  <commentList>
    <comment ref="F29" authorId="0">
      <text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POKUSNY UCET,ZAM,CIVT</author>
    <author>gec</author>
  </authors>
  <commentList>
    <comment ref="B9" authorId="0">
      <text>
        <r>
          <rPr>
            <sz val="9"/>
            <color indexed="81"/>
            <rFont val="Tahoma"/>
            <family val="2"/>
            <charset val="238"/>
          </rPr>
          <t>Oprava 5.6.2018
původně 29 500113
opraveno na 29 413 028
dle podkladu od paní Horníčkové - v původní tabulce dvakrát vyřazený výsledek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Oprava 29 508 165 (5.6.2018) 
na 29 637 575 (zůstalo neopraveno po operavě Lambert)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oprava
původně 1 964 654</t>
        </r>
      </text>
    </comment>
    <comment ref="C15" authorId="0">
      <text>
        <r>
          <rPr>
            <sz val="9"/>
            <color indexed="81"/>
            <rFont val="Tahoma"/>
            <family val="2"/>
            <charset val="238"/>
          </rPr>
          <t>Vyřazený výsledek
Pozn: O vyřazený výsledek bylo poníženo vyrovnání IES, ne dotace Progres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38"/>
          </rPr>
          <t>oprava
původně 4 541 690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38"/>
          </rPr>
          <t>oprava
původně 6 535 476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oprava
původně 6 017 287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38"/>
          </rPr>
          <t>oprava
původně 2 952 588</t>
        </r>
      </text>
    </comment>
    <comment ref="E22" authorId="1">
      <text>
        <r>
          <rPr>
            <b/>
            <sz val="9"/>
            <color rgb="FF000000"/>
            <rFont val="Tahoma"/>
            <family val="2"/>
            <charset val="238"/>
          </rPr>
          <t>gec: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viz C11
</t>
        </r>
      </text>
    </comment>
  </commentList>
</comments>
</file>

<file path=xl/comments3.xml><?xml version="1.0" encoding="utf-8"?>
<comments xmlns="http://schemas.openxmlformats.org/spreadsheetml/2006/main">
  <authors>
    <author>POKUSNY UCET,ZAM,CIVT</author>
  </authors>
  <commentList>
    <comment ref="F12" authorId="0">
      <text>
        <r>
          <rPr>
            <sz val="9"/>
            <color rgb="FF000000"/>
            <rFont val="Tahoma"/>
            <family val="2"/>
            <charset val="238"/>
          </rPr>
          <t xml:space="preserve">nákup pozemku Jinonice Kč 19.10.085
</t>
        </r>
        <r>
          <rPr>
            <sz val="9"/>
            <color rgb="FF000000"/>
            <rFont val="Tahoma"/>
            <family val="2"/>
            <charset val="238"/>
          </rPr>
          <t>čerpání FPP provozní rozpočet  Kč 977.782</t>
        </r>
      </text>
    </comment>
  </commentList>
</comments>
</file>

<file path=xl/comments4.xml><?xml version="1.0" encoding="utf-8"?>
<comments xmlns="http://schemas.openxmlformats.org/spreadsheetml/2006/main">
  <authors>
    <author>POKUSNY UCET,ZAM,CIVT</author>
  </authors>
  <commentList>
    <comment ref="D23" authorId="0">
      <text>
        <r>
          <rPr>
            <b/>
            <sz val="9"/>
            <color indexed="81"/>
            <rFont val="Tahoma"/>
            <family val="2"/>
            <charset val="238"/>
          </rPr>
          <t>cena na 9 měsíců (7,8,9 neplatíme)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VISK 8-A Platíme pouze období 12/2015 -3/2016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VISK 8-A Platíme pouze období 12/2015 -3/2016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POKUSNY UCET,ZAM,CIVT</author>
    <author>jj</author>
    <author>Svarcova</author>
  </authors>
  <commentList>
    <comment ref="B1" authorId="0">
      <text>
        <r>
          <rPr>
            <sz val="9"/>
            <color indexed="81"/>
            <rFont val="Tahoma"/>
            <family val="2"/>
            <charset val="238"/>
          </rPr>
          <t>Podklad od paní Horníčkové</t>
        </r>
      </text>
    </comment>
    <comment ref="N1" authorId="1">
      <text>
        <r>
          <rPr>
            <b/>
            <sz val="9"/>
            <color indexed="8"/>
            <rFont val="Times New Roman"/>
            <family val="1"/>
            <charset val="238"/>
          </rPr>
          <t xml:space="preserve">stavy k 31.10.
</t>
        </r>
      </text>
    </comment>
    <comment ref="T1" authorId="0">
      <text>
        <r>
          <rPr>
            <sz val="9"/>
            <color indexed="81"/>
            <rFont val="Tahoma"/>
            <family val="2"/>
            <charset val="238"/>
          </rPr>
          <t>Podklad od paní Horníčkové</t>
        </r>
      </text>
    </comment>
    <comment ref="F19" authorId="0">
      <text>
        <r>
          <rPr>
            <sz val="9"/>
            <color rgb="FF000000"/>
            <rFont val="Tahoma"/>
            <family val="2"/>
            <charset val="238"/>
          </rPr>
          <t>Rozdíl mezi F17 a F19 je způsoben tím, že EO RUK pro rok 2017 použilo pouze část z vlastních příjmů.</t>
        </r>
      </text>
    </comment>
    <comment ref="T19" authorId="0">
      <text>
        <r>
          <rPr>
            <sz val="9"/>
            <color rgb="FF000000"/>
            <rFont val="Tahoma"/>
            <family val="2"/>
            <charset val="238"/>
          </rPr>
          <t>Tento ukazatel RUK neposkytuje, proto byla použita částka FSV</t>
        </r>
      </text>
    </comment>
    <comment ref="B21" authorId="1">
      <text>
        <r>
          <rPr>
            <b/>
            <sz val="9"/>
            <color rgb="FF000000"/>
            <rFont val="Times New Roman"/>
            <family val="1"/>
            <charset val="238"/>
          </rPr>
          <t xml:space="preserve">stavy k 31.10.
</t>
        </r>
      </text>
    </comment>
    <comment ref="F21" authorId="1">
      <text>
        <r>
          <rPr>
            <b/>
            <sz val="9"/>
            <color rgb="FF000000"/>
            <rFont val="Times New Roman"/>
            <family val="1"/>
            <charset val="238"/>
          </rPr>
          <t xml:space="preserve">stavy k 31.10.
</t>
        </r>
        <r>
          <rPr>
            <sz val="9"/>
            <color rgb="FF000000"/>
            <rFont val="Times New Roman"/>
            <family val="1"/>
            <charset val="238"/>
          </rPr>
          <t>podklad OZS</t>
        </r>
        <r>
          <rPr>
            <b/>
            <sz val="9"/>
            <color rgb="FF000000"/>
            <rFont val="Times New Roman"/>
            <family val="1"/>
            <charset val="238"/>
          </rPr>
          <t xml:space="preserve">
</t>
        </r>
      </text>
    </comment>
    <comment ref="J21" authorId="1">
      <text>
        <r>
          <rPr>
            <b/>
            <sz val="9"/>
            <color rgb="FF000000"/>
            <rFont val="Times New Roman"/>
            <family val="1"/>
            <charset val="238"/>
          </rPr>
          <t xml:space="preserve">stavy k 31.10.
</t>
        </r>
        <r>
          <rPr>
            <b/>
            <sz val="9"/>
            <color rgb="FF000000"/>
            <rFont val="Times New Roman"/>
            <family val="1"/>
            <charset val="238"/>
          </rPr>
          <t>podklad OZS</t>
        </r>
      </text>
    </comment>
    <comment ref="N36" authorId="2">
      <text>
        <r>
          <rPr>
            <b/>
            <sz val="9"/>
            <color indexed="81"/>
            <rFont val="Tahoma"/>
            <family val="2"/>
            <charset val="238"/>
          </rPr>
          <t>Svarcova:</t>
        </r>
        <r>
          <rPr>
            <sz val="9"/>
            <color indexed="81"/>
            <rFont val="Tahoma"/>
            <family val="2"/>
            <charset val="238"/>
          </rPr>
          <t xml:space="preserve">
Nerozlišené výsledky 11,960</t>
        </r>
      </text>
    </comment>
  </commentList>
</comments>
</file>

<file path=xl/sharedStrings.xml><?xml version="1.0" encoding="utf-8"?>
<sst xmlns="http://schemas.openxmlformats.org/spreadsheetml/2006/main" count="2102" uniqueCount="896">
  <si>
    <t>CELKEM</t>
  </si>
  <si>
    <t>Mzdové náklady</t>
  </si>
  <si>
    <t>SÚČ</t>
  </si>
  <si>
    <t>Druh nákladu</t>
  </si>
  <si>
    <t>%</t>
  </si>
  <si>
    <t>Částka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</si>
  <si>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</si>
  <si>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</si>
  <si>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</si>
  <si>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</si>
  <si>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</si>
  <si>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</si>
  <si>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</si>
  <si>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</si>
  <si>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</si>
  <si>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</si>
  <si>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</si>
  <si>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</si>
  <si>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</si>
  <si>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</si>
  <si>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MZDOVÉ NÁKLADY DPP</t>
  </si>
  <si>
    <t>MZDOVÉ NÁKLADY DPČ</t>
  </si>
  <si>
    <t>524</t>
  </si>
  <si>
    <t>ZÁKONNÉ SOCIÁLNÍ POJIŠTĚNÍ</t>
  </si>
  <si>
    <t>527</t>
  </si>
  <si>
    <t>ZÁKONNÉ SOCIÁLNÍ NÁKLADY</t>
  </si>
  <si>
    <t>549</t>
  </si>
  <si>
    <t>JINÉ OSTATNÍ NÁKLADY</t>
  </si>
  <si>
    <t>602</t>
  </si>
  <si>
    <t>TRŽBY Z PRODEJE SLUŽEB</t>
  </si>
  <si>
    <t>649</t>
  </si>
  <si>
    <t>JINÉ OSTATNÍ VÝNOSY</t>
  </si>
  <si>
    <t>799</t>
  </si>
  <si>
    <t>VNITROPODNIKOVÉ NÁKLADY</t>
  </si>
  <si>
    <t>899</t>
  </si>
  <si>
    <t>VNITROPODNIKOVÉ VÝNOSY</t>
  </si>
  <si>
    <t>NÁKLADY CELKEM</t>
  </si>
  <si>
    <t>VÝNOSY CELKEM</t>
  </si>
  <si>
    <t>Fakulta</t>
  </si>
  <si>
    <t>IES</t>
  </si>
  <si>
    <t>ISS</t>
  </si>
  <si>
    <t>IMS</t>
  </si>
  <si>
    <t>IPS</t>
  </si>
  <si>
    <t>Celkem</t>
  </si>
  <si>
    <t>ODPISY - stávající majetek</t>
  </si>
  <si>
    <t>JINÉ OSTATNÍ NÁKLADY - tvorba SF</t>
  </si>
  <si>
    <t>PŘÍSPĚVEK</t>
  </si>
  <si>
    <t>FAKULTA CELKEM          Poznámky</t>
  </si>
  <si>
    <t>DAŇ SILNIČNÍ</t>
  </si>
  <si>
    <t>Financování koheze:</t>
  </si>
  <si>
    <t>Celkem fakulta</t>
  </si>
  <si>
    <t>Celkem instituty</t>
  </si>
  <si>
    <t>IKSŽ</t>
  </si>
  <si>
    <t>Meziroční růst v  %</t>
  </si>
  <si>
    <t>Meziroční    růst</t>
  </si>
  <si>
    <t>Meziroční růst v %</t>
  </si>
  <si>
    <t>Meziroční růst</t>
  </si>
  <si>
    <t>Kohezní prostředky</t>
  </si>
  <si>
    <t>CELKEM VČ po uplatnění koheze</t>
  </si>
  <si>
    <t>Uplatněna koheze</t>
  </si>
  <si>
    <t>Hranice pro uplatnění koheze</t>
  </si>
  <si>
    <t>CELKEM vzdělávací činnost a podpora vědy včetně kohezních prostředků (v Kč)</t>
  </si>
  <si>
    <t>Dotace na podporu vědy (v Kč)</t>
  </si>
  <si>
    <t>Koheze (v Kč)</t>
  </si>
  <si>
    <t>Vzdělávací činnost (v Kč)</t>
  </si>
  <si>
    <t>Celkem k rozpisu na instituty</t>
  </si>
  <si>
    <t>K rozpisu na instituty:</t>
  </si>
  <si>
    <t>Prostředky k financování celofakultních aktivit a děkanátu z VČ</t>
  </si>
  <si>
    <t>Dotace z RUK</t>
  </si>
  <si>
    <t>CELKEM VČ (v Kč)</t>
  </si>
  <si>
    <t>příspěvek K (v Kč)</t>
  </si>
  <si>
    <t>příspěvek B (v Kč)</t>
  </si>
  <si>
    <t>příspěvek A (v Kč)</t>
  </si>
  <si>
    <t>Rozpis rozpočtu FSV UK; vzdělávací činnost</t>
  </si>
  <si>
    <t>celkem</t>
  </si>
  <si>
    <t>koordinátoři</t>
  </si>
  <si>
    <t>celkem instituty/týmy výhradně dle RIV</t>
  </si>
  <si>
    <t>režie</t>
  </si>
  <si>
    <t>Rozdělení</t>
  </si>
  <si>
    <t>bonifikace Progres</t>
  </si>
  <si>
    <t>příspěvek na odpisy</t>
  </si>
  <si>
    <t>dotace Progres</t>
  </si>
  <si>
    <t>Pozn.: částky uváděny v Kč a to včetně režie</t>
  </si>
  <si>
    <t>P2+</t>
  </si>
  <si>
    <t>Mediální a komunikační studia</t>
  </si>
  <si>
    <t>P7202</t>
  </si>
  <si>
    <t>P1</t>
  </si>
  <si>
    <t>Historické vědy</t>
  </si>
  <si>
    <t>P7105</t>
  </si>
  <si>
    <t>Sociologie</t>
  </si>
  <si>
    <t>P6703</t>
  </si>
  <si>
    <t>Mezinárodní teritoriální studia</t>
  </si>
  <si>
    <t>P6702</t>
  </si>
  <si>
    <t>Politologie</t>
  </si>
  <si>
    <t>P6701</t>
  </si>
  <si>
    <t>Ekonomie a ekonometrie</t>
  </si>
  <si>
    <t>P6228</t>
  </si>
  <si>
    <t>CERGE</t>
  </si>
  <si>
    <t>Ekonomické teorie</t>
  </si>
  <si>
    <t>P6201</t>
  </si>
  <si>
    <t>N2+</t>
  </si>
  <si>
    <t>N7202</t>
  </si>
  <si>
    <t>N1</t>
  </si>
  <si>
    <t>N6703</t>
  </si>
  <si>
    <t>N6702</t>
  </si>
  <si>
    <t>N6701</t>
  </si>
  <si>
    <t>N6201</t>
  </si>
  <si>
    <t>B2+</t>
  </si>
  <si>
    <t>B7202</t>
  </si>
  <si>
    <t>B1</t>
  </si>
  <si>
    <t>B7105</t>
  </si>
  <si>
    <t>B6703</t>
  </si>
  <si>
    <t>B6702</t>
  </si>
  <si>
    <t>B6701</t>
  </si>
  <si>
    <t>B6201</t>
  </si>
  <si>
    <t>Normativ</t>
  </si>
  <si>
    <t>Přepočtený počet</t>
  </si>
  <si>
    <t>Půlroční</t>
  </si>
  <si>
    <t>Ostatní</t>
  </si>
  <si>
    <t>Zvláštní</t>
  </si>
  <si>
    <t>Nově přijatí</t>
  </si>
  <si>
    <t>Koeficient</t>
  </si>
  <si>
    <t>Název</t>
  </si>
  <si>
    <t>Kód</t>
  </si>
  <si>
    <t>Počty studií</t>
  </si>
  <si>
    <t>Kategorie</t>
  </si>
  <si>
    <t>Studijní program</t>
  </si>
  <si>
    <t>Do délky studia pro členění na jednotlivé kategorie se započítává aktuální studium a registrované přestupy/převody (pokud existují). Též se započítávají i nerozpočtové etapy daného studia. Předchozí neúspěšná studia se nezapočítávají. Pod pojmem "dané studium" se v případě existence přestupu/převodu chápe celá přestupová línie.</t>
  </si>
  <si>
    <t>(podobně pro magisterský M1, M2+, magisterský navazující N1, N2+ a doktorský P1, P2+ studijní program).</t>
  </si>
  <si>
    <t>B2+ - počet studentů v bakalářských studijních programech v druhém a dalším roce studia daného studijního programu;</t>
  </si>
  <si>
    <t>B1 - počet studentů v bakalářských studijních programech v prvním roce studia daného studijního programu;</t>
  </si>
  <si>
    <t>FSV</t>
  </si>
  <si>
    <t>International Economic and Political Studies (Mezinárodní ek.a polit.studia)</t>
  </si>
  <si>
    <t>N6736</t>
  </si>
  <si>
    <t>P</t>
  </si>
  <si>
    <t>N</t>
  </si>
  <si>
    <t>M</t>
  </si>
  <si>
    <t>B</t>
  </si>
  <si>
    <t>Samoplátci</t>
  </si>
  <si>
    <t>NORMATIVNÍ POČTY  PO KOEFICIENTECH SAMOPLÁTCŮ A PO BONIFIKACI</t>
  </si>
  <si>
    <t>NORMATIVNÍ POČTY  PO KOEFICIENTECH SAMOPLÁTCŮ</t>
  </si>
  <si>
    <t>PŘEPOČTENÉ POČTY PO KOEFICIENTECH SAMOPLÁTCŮ</t>
  </si>
  <si>
    <t>PŘEPOČTENÉ POČTY</t>
  </si>
  <si>
    <t>SIMS VÝSTUPY ROČNÍ PŘEHLEDY AKTIVNÍ STUDIA 31.10.2016 JEN SAMOPLÁTCI</t>
  </si>
  <si>
    <t>příspěvek dle normativního počtu studentů</t>
  </si>
  <si>
    <t>příspěvek dle přepočteného počtu studentů</t>
  </si>
  <si>
    <t>prostředky dle přepočteného počtu studentů</t>
  </si>
  <si>
    <t>Příspěvek ukazatel A celkem</t>
  </si>
  <si>
    <t>koeficient pro Ph.D. samoplátce</t>
  </si>
  <si>
    <t>koeficient pro pregraduální samoplátce</t>
  </si>
  <si>
    <t>bonifikace Ph.D.</t>
  </si>
  <si>
    <t>bonifikace N</t>
  </si>
  <si>
    <t>bonifikace M</t>
  </si>
  <si>
    <t>bonifikace B</t>
  </si>
  <si>
    <t>Data z rozpočtu UK:</t>
  </si>
  <si>
    <t>normat.</t>
  </si>
  <si>
    <t>přepočt.</t>
  </si>
  <si>
    <t>Příspěvek</t>
  </si>
  <si>
    <t>Počty studií k financování</t>
  </si>
  <si>
    <t>Samoplátci po bonifikaci</t>
  </si>
  <si>
    <t>Normativní počty studií po bonifikaci</t>
  </si>
  <si>
    <t>Normativní počty studií</t>
  </si>
  <si>
    <t>Přepočtené počty studií</t>
  </si>
  <si>
    <t>SEC</t>
  </si>
  <si>
    <t>PASP</t>
  </si>
  <si>
    <t>ISSA</t>
  </si>
  <si>
    <t>IEPS</t>
  </si>
  <si>
    <t>GPS</t>
  </si>
  <si>
    <t>IMESS</t>
  </si>
  <si>
    <t>Tan</t>
  </si>
  <si>
    <t>BECES</t>
  </si>
  <si>
    <t>MEF</t>
  </si>
  <si>
    <t>CSF</t>
  </si>
  <si>
    <t>Rozpis FSV:</t>
  </si>
  <si>
    <t>Typ studia</t>
  </si>
  <si>
    <t>Údaje z rozpočtu UK:</t>
  </si>
  <si>
    <t>Absolventi studia v cizím jazyce</t>
  </si>
  <si>
    <t>Průměr 2016</t>
  </si>
  <si>
    <t>M12</t>
  </si>
  <si>
    <t>M11</t>
  </si>
  <si>
    <t>M10</t>
  </si>
  <si>
    <t>M09</t>
  </si>
  <si>
    <t>M08</t>
  </si>
  <si>
    <t>M07</t>
  </si>
  <si>
    <t>M06</t>
  </si>
  <si>
    <t>M05</t>
  </si>
  <si>
    <t>M04</t>
  </si>
  <si>
    <t>M03</t>
  </si>
  <si>
    <t>M02</t>
  </si>
  <si>
    <t>M01</t>
  </si>
  <si>
    <t>Zahraniční učitelé - průměrný úvazek</t>
  </si>
  <si>
    <t>XXP</t>
  </si>
  <si>
    <t>XXMV</t>
  </si>
  <si>
    <t>XXE</t>
  </si>
  <si>
    <t>Ph.D. absolventi ve standardní době + 1 rok</t>
  </si>
  <si>
    <t>UK celkem</t>
  </si>
  <si>
    <t>Příspěvek B celkem</t>
  </si>
  <si>
    <t>Váhy  let</t>
  </si>
  <si>
    <t>Data 2017:</t>
  </si>
  <si>
    <t>Přepočtená data:</t>
  </si>
  <si>
    <t>Podíl na celku</t>
  </si>
  <si>
    <t>body</t>
  </si>
  <si>
    <t>RIV body</t>
  </si>
  <si>
    <t>mobilita příjezd (studentodny)</t>
  </si>
  <si>
    <t>mobilita výjezd (studentodny)</t>
  </si>
  <si>
    <t>Mezinár.granty</t>
  </si>
  <si>
    <t>RUV body</t>
  </si>
  <si>
    <t>Cizinci</t>
  </si>
  <si>
    <t>Profesoři a docenti</t>
  </si>
  <si>
    <t>Vlastní příjmy</t>
  </si>
  <si>
    <t>Účelové NIV výzkum</t>
  </si>
  <si>
    <t>UK-Normativní počet absolventů</t>
  </si>
  <si>
    <t>Počet absolventů</t>
  </si>
  <si>
    <t>Normativní počet absolventů</t>
  </si>
  <si>
    <t>Koeficient SP</t>
  </si>
  <si>
    <t>Upravený koeficient náročnosti</t>
  </si>
  <si>
    <t>Ph.D. absolventi ve standardní době + 3 roky</t>
  </si>
  <si>
    <t>Standardní doba studia</t>
  </si>
  <si>
    <t>Koeficient náročnosti</t>
  </si>
  <si>
    <t>váha Ph.D. programů (ostatní)</t>
  </si>
  <si>
    <t>váha Ph.D. programů (abs. v SDS +3r)</t>
  </si>
  <si>
    <t>váha Mgr. programů (ostatní)</t>
  </si>
  <si>
    <t>váha Mgr. programů (SDS = 6 let)</t>
  </si>
  <si>
    <t>váha N programů</t>
  </si>
  <si>
    <t>váha Bc. programů</t>
  </si>
  <si>
    <t>zohlednění koeficientů náročnosti</t>
  </si>
  <si>
    <t>Váha</t>
  </si>
  <si>
    <t>UK-Normativní počet absolventů
2015</t>
  </si>
  <si>
    <t>UK-Normativní počet absolventů
2016</t>
  </si>
  <si>
    <t>Prostředky k rozdělení po odečtení nákladů na celofakultní aktivity FSV a děkanát:</t>
  </si>
  <si>
    <t>Prostředky získané skrze danou položku z RUK:</t>
  </si>
  <si>
    <t>Částky:</t>
  </si>
  <si>
    <t>Podíl na celku:</t>
  </si>
  <si>
    <t>Příspěvek K celkem</t>
  </si>
  <si>
    <t>RUV</t>
  </si>
  <si>
    <t>Mobilita příjezd</t>
  </si>
  <si>
    <t>Mobilita výjezd</t>
  </si>
  <si>
    <t>UK -Normativní počet absolventů</t>
  </si>
  <si>
    <t>Mezinárodní granty</t>
  </si>
  <si>
    <t>Účelové NIV VaV</t>
  </si>
  <si>
    <t>Započítané body RIV</t>
  </si>
  <si>
    <t>Rozpočet 2017</t>
  </si>
  <si>
    <t>Počáteční zůstatek k 1.1.</t>
  </si>
  <si>
    <t>Tvorba fondu</t>
  </si>
  <si>
    <t>Čerpání fondu</t>
  </si>
  <si>
    <t>z toho:</t>
  </si>
  <si>
    <t>úroky z hypoték</t>
  </si>
  <si>
    <t>vzdělávání zaměstnanců</t>
  </si>
  <si>
    <t>penzijní a životní pojištění</t>
  </si>
  <si>
    <t>příspěvek na zdravotní péči</t>
  </si>
  <si>
    <t>příspěvek na předškolní vzdělávání</t>
  </si>
  <si>
    <t>Zůstatek fondu dle čerpání</t>
  </si>
  <si>
    <t>z toho prospěchová stipendia</t>
  </si>
  <si>
    <t>Přehled fondů FSV UK</t>
  </si>
  <si>
    <t>tvorba</t>
  </si>
  <si>
    <t>čerpání</t>
  </si>
  <si>
    <t>Fond Provozních Prostředků (FPP):</t>
  </si>
  <si>
    <t>v tom:</t>
  </si>
  <si>
    <t>Děkanát</t>
  </si>
  <si>
    <t>Fond rezervní</t>
  </si>
  <si>
    <t>Fond reprodukce investičního majetku (FRIM)</t>
  </si>
  <si>
    <t>Stipendijní fond</t>
  </si>
  <si>
    <t>Fond odměn</t>
  </si>
  <si>
    <t>Fond účelově určených prostředků</t>
  </si>
  <si>
    <t>Fond sociální</t>
  </si>
  <si>
    <t>Plánované fondy:</t>
  </si>
  <si>
    <t xml:space="preserve">   Fond přijímacího řízení </t>
  </si>
  <si>
    <t xml:space="preserve">   Fond vzájemné vyuky</t>
  </si>
  <si>
    <t xml:space="preserve">   Fond IEPS</t>
  </si>
  <si>
    <t xml:space="preserve">   Fond podpora konferencí</t>
  </si>
  <si>
    <t>Financování koheze</t>
  </si>
  <si>
    <t>Uvedené Fondy Celkem</t>
  </si>
  <si>
    <t>Hodnoty jsou uvedeny v tis. Kč.</t>
  </si>
  <si>
    <t>FPP_Stav k 14/04/2015</t>
  </si>
  <si>
    <t>CESES</t>
  </si>
  <si>
    <t>KJP</t>
  </si>
  <si>
    <t>Ostatní FPP (SVI, CIVT, atd.)</t>
  </si>
  <si>
    <t>Konečný zůstatek k 31.12.</t>
  </si>
  <si>
    <t xml:space="preserve">Položka rozpočtu </t>
  </si>
  <si>
    <t>Číslo účtu</t>
  </si>
  <si>
    <t>Hlavní činnost</t>
  </si>
  <si>
    <t>Doplňková činnost</t>
  </si>
  <si>
    <t>Náklady a výdaje</t>
  </si>
  <si>
    <t>meziroční růst v %</t>
  </si>
  <si>
    <t>Spotřeba materiálu</t>
  </si>
  <si>
    <t>Spotřeba energie</t>
  </si>
  <si>
    <t>Prodané zboží</t>
  </si>
  <si>
    <t>Opravy a údržba</t>
  </si>
  <si>
    <t>Cestovné</t>
  </si>
  <si>
    <t>Náklady na reprezentaci</t>
  </si>
  <si>
    <t>Ostatní služby</t>
  </si>
  <si>
    <t>Zákonné sociální pojištění</t>
  </si>
  <si>
    <t>Ostatní sociální náklady a pojištění</t>
  </si>
  <si>
    <t>525 až 528</t>
  </si>
  <si>
    <t>Daně a poplatky</t>
  </si>
  <si>
    <t>531 až 538</t>
  </si>
  <si>
    <t>Jiné ostatní náklady</t>
  </si>
  <si>
    <t>543 až 549</t>
  </si>
  <si>
    <t>Odpisy hmotného a nehmotného majetku</t>
  </si>
  <si>
    <t>Tvorba zákonných rezerv a opravných položek</t>
  </si>
  <si>
    <t>Daň z příjmů</t>
  </si>
  <si>
    <t>Vnitrouniverzitní náklady</t>
  </si>
  <si>
    <t>7**</t>
  </si>
  <si>
    <t>Náklady a výdaje celkem</t>
  </si>
  <si>
    <t>třídy 5, 7</t>
  </si>
  <si>
    <t>Příjmy a výnosy</t>
  </si>
  <si>
    <t>Tržby za vlastní výrobky</t>
  </si>
  <si>
    <t>Tržby z prodeje služeb</t>
  </si>
  <si>
    <t>Tržby za prodané zboží</t>
  </si>
  <si>
    <t>Jiné ostatní výnosy</t>
  </si>
  <si>
    <t>641 až 649</t>
  </si>
  <si>
    <t>Tržby z prodeje majetku</t>
  </si>
  <si>
    <t>Provozní dotace a příspěvek ze státního rozpočtu</t>
  </si>
  <si>
    <t>Spoluřešitelská provozní dotace a příspěvek ze státního rozpočtu</t>
  </si>
  <si>
    <t>Vnitrouniverzitní výnosy</t>
  </si>
  <si>
    <t>8**</t>
  </si>
  <si>
    <t>Příjmy a výnosy celkem</t>
  </si>
  <si>
    <t>třídy 6, 8</t>
  </si>
  <si>
    <t xml:space="preserve">Příjmy a výnosy celkem </t>
  </si>
  <si>
    <t xml:space="preserve">Náklady a výdaje celkem </t>
  </si>
  <si>
    <t xml:space="preserve">Hospodářský výsledek </t>
  </si>
  <si>
    <t>rozdíl 6,8-5,7</t>
  </si>
  <si>
    <t>Odpisy majetku pořízeného z dotace</t>
  </si>
  <si>
    <t>551 1409</t>
  </si>
  <si>
    <t>Ostatní výnosy ("papírové")</t>
  </si>
  <si>
    <t>649 1409</t>
  </si>
  <si>
    <t>Dotace Progres celkem bez koordinátorů a bonusů</t>
  </si>
  <si>
    <t>2016
tis Kč</t>
  </si>
  <si>
    <t>OK</t>
  </si>
  <si>
    <t>ok</t>
  </si>
  <si>
    <t>Kim</t>
  </si>
  <si>
    <t>Ha Eun</t>
  </si>
  <si>
    <t>bakalářské</t>
  </si>
  <si>
    <t>BEF</t>
  </si>
  <si>
    <t>Rotar</t>
  </si>
  <si>
    <t>Karina</t>
  </si>
  <si>
    <t>navazující magisterské</t>
  </si>
  <si>
    <t>Covalenco</t>
  </si>
  <si>
    <t>Valeri</t>
  </si>
  <si>
    <t>Berrios</t>
  </si>
  <si>
    <t>Alicia Maria</t>
  </si>
  <si>
    <t>Makarevich</t>
  </si>
  <si>
    <t>Veranika</t>
  </si>
  <si>
    <t>Filippova</t>
  </si>
  <si>
    <t>Daria</t>
  </si>
  <si>
    <t>Bogren</t>
  </si>
  <si>
    <t>Peter</t>
  </si>
  <si>
    <t>Radosavčević</t>
  </si>
  <si>
    <t>Aleksa</t>
  </si>
  <si>
    <t>Denduluri</t>
  </si>
  <si>
    <t>Arun</t>
  </si>
  <si>
    <t>Michael</t>
  </si>
  <si>
    <t>Marcks</t>
  </si>
  <si>
    <t>Jakob Matthias</t>
  </si>
  <si>
    <t>Weed</t>
  </si>
  <si>
    <t>Christopher</t>
  </si>
  <si>
    <t>Riabushkina</t>
  </si>
  <si>
    <t>Sofiia</t>
  </si>
  <si>
    <t>Wielander</t>
  </si>
  <si>
    <t>Anna</t>
  </si>
  <si>
    <t>Bilsky</t>
  </si>
  <si>
    <t>Caroline</t>
  </si>
  <si>
    <t>Grishko</t>
  </si>
  <si>
    <t>Valeria</t>
  </si>
  <si>
    <t>ESA</t>
  </si>
  <si>
    <t>Vavricova</t>
  </si>
  <si>
    <t>Linda</t>
  </si>
  <si>
    <t>Abubakirova</t>
  </si>
  <si>
    <t>Evgenia</t>
  </si>
  <si>
    <t>Gaziev</t>
  </si>
  <si>
    <t>Farkhod</t>
  </si>
  <si>
    <t>Peets</t>
  </si>
  <si>
    <t>Liis</t>
  </si>
  <si>
    <t>Loginova</t>
  </si>
  <si>
    <t>Karyna</t>
  </si>
  <si>
    <t>Arbesleitner</t>
  </si>
  <si>
    <t>Roland</t>
  </si>
  <si>
    <t>Zakrzewska</t>
  </si>
  <si>
    <t>Marta</t>
  </si>
  <si>
    <t>Lei</t>
  </si>
  <si>
    <t>Masarikova</t>
  </si>
  <si>
    <t>Miroslava</t>
  </si>
  <si>
    <t>Schwarz</t>
  </si>
  <si>
    <t>Marie Bettine</t>
  </si>
  <si>
    <t>Köthe</t>
  </si>
  <si>
    <t>Anja</t>
  </si>
  <si>
    <t>Paulino Rosario</t>
  </si>
  <si>
    <t>Leandra</t>
  </si>
  <si>
    <t>TSA</t>
  </si>
  <si>
    <t>Mammadova</t>
  </si>
  <si>
    <t>Gunel</t>
  </si>
  <si>
    <t>Ponomarenko</t>
  </si>
  <si>
    <t>Anastasia</t>
  </si>
  <si>
    <t>Pepper</t>
  </si>
  <si>
    <t>James Daniel</t>
  </si>
  <si>
    <t>Krasko</t>
  </si>
  <si>
    <t>Arianna</t>
  </si>
  <si>
    <t>Ramesh</t>
  </si>
  <si>
    <t>Pavithra</t>
  </si>
  <si>
    <t>Aliyev</t>
  </si>
  <si>
    <t>Abdul</t>
  </si>
  <si>
    <t>Bayramov</t>
  </si>
  <si>
    <t>Vugar</t>
  </si>
  <si>
    <t>Sukhova</t>
  </si>
  <si>
    <t>Ekaterina</t>
  </si>
  <si>
    <t>Knorr</t>
  </si>
  <si>
    <t>Denise</t>
  </si>
  <si>
    <t>Rakshit</t>
  </si>
  <si>
    <t>Shoumyadeep</t>
  </si>
  <si>
    <t>Philipps</t>
  </si>
  <si>
    <t>Andreas</t>
  </si>
  <si>
    <t>Mandić</t>
  </si>
  <si>
    <t>Stefan</t>
  </si>
  <si>
    <t>Doan</t>
  </si>
  <si>
    <t>Phu Nguyen</t>
  </si>
  <si>
    <t>MAIN</t>
  </si>
  <si>
    <t>Köppen</t>
  </si>
  <si>
    <t>Julia</t>
  </si>
  <si>
    <t>Prushankin</t>
  </si>
  <si>
    <t>Keith</t>
  </si>
  <si>
    <t>Sdun</t>
  </si>
  <si>
    <t>Maika Malina</t>
  </si>
  <si>
    <t>Prijatel</t>
  </si>
  <si>
    <t>Alan</t>
  </si>
  <si>
    <t>Libová</t>
  </si>
  <si>
    <t>Heinen</t>
  </si>
  <si>
    <t>Rebecca Ann</t>
  </si>
  <si>
    <t>Nentwig</t>
  </si>
  <si>
    <t>Stefan Jan Benedikt</t>
  </si>
  <si>
    <t>Radloff</t>
  </si>
  <si>
    <t>Paul Christian</t>
  </si>
  <si>
    <t>Templeton</t>
  </si>
  <si>
    <t>Ashleigh Ann</t>
  </si>
  <si>
    <t>Schmidt</t>
  </si>
  <si>
    <t>Stefanie</t>
  </si>
  <si>
    <t>Kulichkina</t>
  </si>
  <si>
    <t>Mariia</t>
  </si>
  <si>
    <t>McGrath</t>
  </si>
  <si>
    <t>Kevin</t>
  </si>
  <si>
    <t>Sosnovskykh</t>
  </si>
  <si>
    <t>Volodymyr</t>
  </si>
  <si>
    <t>Vogrinec</t>
  </si>
  <si>
    <t>Matevž</t>
  </si>
  <si>
    <t>Kaya</t>
  </si>
  <si>
    <t>Onur</t>
  </si>
  <si>
    <t>Sanjoh</t>
  </si>
  <si>
    <t>Charles</t>
  </si>
  <si>
    <t>Pavlovic</t>
  </si>
  <si>
    <t>Nicolas Jako</t>
  </si>
  <si>
    <t>Fani</t>
  </si>
  <si>
    <t>Tsuku Sibasa Lita</t>
  </si>
  <si>
    <t>Mayer</t>
  </si>
  <si>
    <t>Fabian</t>
  </si>
  <si>
    <t>Chaudhry</t>
  </si>
  <si>
    <t>Sana</t>
  </si>
  <si>
    <t>Gordon</t>
  </si>
  <si>
    <t>Ewan</t>
  </si>
  <si>
    <t>Green</t>
  </si>
  <si>
    <t>Stuart</t>
  </si>
  <si>
    <t>Franz Palacios</t>
  </si>
  <si>
    <t>Johana</t>
  </si>
  <si>
    <t>Hansen</t>
  </si>
  <si>
    <t>Elise Degnan</t>
  </si>
  <si>
    <t>Langvad</t>
  </si>
  <si>
    <t>Elias</t>
  </si>
  <si>
    <t>Pîrlea</t>
  </si>
  <si>
    <t>Liliana</t>
  </si>
  <si>
    <t>van Gent</t>
  </si>
  <si>
    <t>Liseberthus</t>
  </si>
  <si>
    <t>Ricker</t>
  </si>
  <si>
    <t>Johnathon</t>
  </si>
  <si>
    <t>Florescu</t>
  </si>
  <si>
    <t>Radu</t>
  </si>
  <si>
    <t>Angelini</t>
  </si>
  <si>
    <t>Paul Michael</t>
  </si>
  <si>
    <t>Christodoulides</t>
  </si>
  <si>
    <t>Nikolas</t>
  </si>
  <si>
    <t>Fedeli</t>
  </si>
  <si>
    <t>Nicola</t>
  </si>
  <si>
    <t>Ruth</t>
  </si>
  <si>
    <t>Adrienne</t>
  </si>
  <si>
    <t>Orbunde</t>
  </si>
  <si>
    <t>Terver</t>
  </si>
  <si>
    <t>Petre</t>
  </si>
  <si>
    <t>Adriana</t>
  </si>
  <si>
    <t>Begu</t>
  </si>
  <si>
    <t>Edona</t>
  </si>
  <si>
    <t>Beckmeyer</t>
  </si>
  <si>
    <t>Kelsey</t>
  </si>
  <si>
    <t>Babilon-Crockett</t>
  </si>
  <si>
    <t>Max</t>
  </si>
  <si>
    <t>Kulesza</t>
  </si>
  <si>
    <t>Izabela</t>
  </si>
  <si>
    <t>Zeynalov, Ayaz</t>
  </si>
  <si>
    <t>Křehlík Tomáš</t>
  </si>
  <si>
    <t>Hornát Jan</t>
  </si>
  <si>
    <t>XXMTS</t>
  </si>
  <si>
    <t>Daniel Jan</t>
  </si>
  <si>
    <t>Smetana Michal</t>
  </si>
  <si>
    <t>Řehák Vilém</t>
  </si>
  <si>
    <t>Špelda Petr</t>
  </si>
  <si>
    <t>Sekerák Marián</t>
  </si>
  <si>
    <t>Morgado Albino Nuno</t>
  </si>
  <si>
    <t>XXIRK</t>
  </si>
  <si>
    <t>Husák Martin</t>
  </si>
  <si>
    <t>XXMS</t>
  </si>
  <si>
    <t>Teplá Jana</t>
  </si>
  <si>
    <t>Švelch Jan</t>
  </si>
  <si>
    <t>Soukup Petr</t>
  </si>
  <si>
    <t>XXSCO</t>
  </si>
  <si>
    <t>Skutečnost 2017</t>
  </si>
  <si>
    <t>Rozpočet 2018</t>
  </si>
  <si>
    <t>Skutečnost 2017 (v tisících Kč)</t>
  </si>
  <si>
    <t>DARY</t>
  </si>
  <si>
    <t>DAŇ Z PŘÍJMU</t>
  </si>
  <si>
    <t>ZAPOJENÍ FPP</t>
  </si>
  <si>
    <t>KURZOVÉ ROZDÍLY</t>
  </si>
  <si>
    <t>Tabulka obsahuje přepočtený počet studentů  31. 10. 2017 za fakulty a vysokou školu rozdělený do osmi kategorií podle typu studijního programu a délky studia:</t>
  </si>
  <si>
    <t>Z TABULKY RUK JE MOŽNÉ POUZE VYČÍST</t>
  </si>
  <si>
    <t>ABSOLVENTY VE STANDARDNÍ DOBĚ STUIDA</t>
  </si>
  <si>
    <t>PLUS 1 ROK A  KOEFICINET SP</t>
  </si>
  <si>
    <t>NYNÍ NENÁM PODKLAD</t>
  </si>
  <si>
    <t>počáteční stav                          k 1.1.2018</t>
  </si>
  <si>
    <t>CJP</t>
  </si>
  <si>
    <t>CERGE se nikam nepřipočítává</t>
  </si>
  <si>
    <t>Rozpis rozpočtu FSV UK na instituty pro rok 2018</t>
  </si>
  <si>
    <r>
      <t xml:space="preserve">Příspěvek Progres 2018                                                           </t>
    </r>
    <r>
      <rPr>
        <sz val="7"/>
        <rFont val="Tahoma"/>
        <family val="2"/>
        <charset val="238"/>
      </rPr>
      <t>2017</t>
    </r>
  </si>
  <si>
    <t>CELKEM                         částka pro rok 2018 pro instituty (bez "Lamberta")</t>
  </si>
  <si>
    <t>meziroční nárůst/pokles</t>
  </si>
  <si>
    <t>Rozpis rozpočtu FSV UK; specifický vysokoškolský výzkum</t>
  </si>
  <si>
    <t>zůstatek                                              k 31.12. 2018</t>
  </si>
  <si>
    <t>Plán 2018 (v tisících Kč)</t>
  </si>
  <si>
    <t>SLOUPEC E JE UPRAVENÝ</t>
  </si>
  <si>
    <t>SLOUPEC F JE Z PODKLADU SO, RUK JIŽ NEPOSÍLÁ</t>
  </si>
  <si>
    <t>2 PROGRAMY V ROCE 2017 NEJSOU UVEDENY</t>
  </si>
  <si>
    <t>AÚČ</t>
  </si>
  <si>
    <t>Poznámky</t>
  </si>
  <si>
    <t>KANCELÁŘSKÉ POTŘEBY</t>
  </si>
  <si>
    <t>ŠKOLENÍ</t>
  </si>
  <si>
    <t>ZÁKONNÉ SOCIÁLNÍ POJIŠTĚNÍ - ZP</t>
  </si>
  <si>
    <t>ZÁKONNÉ SOCIÁLNÍ POJIŠTĚNÍ - SP</t>
  </si>
  <si>
    <t xml:space="preserve">ZÁKONNÉ SOCIÁLNÍ NÁKLADY </t>
  </si>
  <si>
    <t>TVORBA SOCIÁLNÍHO FONDU</t>
  </si>
  <si>
    <t>Středisko: 100101</t>
  </si>
  <si>
    <t>finanční dar na ples IPS (20tis.Kč) + ples spolek (25 tis.Kč)</t>
  </si>
  <si>
    <t>Středisko: 100106</t>
  </si>
  <si>
    <t>kanc. potřeby; materiál do  3.000 Kč, DHM</t>
  </si>
  <si>
    <t>společný oběd oddělení s p. proděkanem pro rozvoj</t>
  </si>
  <si>
    <t>ostatní služby, konferenční poplatky</t>
  </si>
  <si>
    <t>ZÁKONNÉ SOCIÁLNÍ POJIŠTĚNÍ ZP</t>
  </si>
  <si>
    <t>ZÁKONNÉ SOCIÁLNÍ POJIŠTĚNÍ SP</t>
  </si>
  <si>
    <t>školení UKUK</t>
  </si>
  <si>
    <t>čerpání nemocenské</t>
  </si>
  <si>
    <t>zúčtování FPP</t>
  </si>
  <si>
    <t xml:space="preserve"> zapojení FPP (navýšení OO v květnu a prosinci 2017)</t>
  </si>
  <si>
    <t>Středisko: 100180</t>
  </si>
  <si>
    <t>cestové</t>
  </si>
  <si>
    <t>ICEF, dofinancování EAIE</t>
  </si>
  <si>
    <t>náklady na reprezentaci</t>
  </si>
  <si>
    <t>ostatní služby</t>
  </si>
  <si>
    <t>diety, DHL, poštovné, tisk, orientation weekend, pojisteni, Kostnice, atd.</t>
  </si>
  <si>
    <t>Jiné ostatní služby</t>
  </si>
  <si>
    <t>stipendia (studenti v rámci MU, MV dohod)</t>
  </si>
  <si>
    <t>vnitropodnikové náklady</t>
  </si>
  <si>
    <t>ubytování (akademici v rámci MU dohod)</t>
  </si>
  <si>
    <t>Výnosy</t>
  </si>
  <si>
    <t>obytování Interculture studies</t>
  </si>
  <si>
    <t>OSTATNÍ SOCIÁLNÍ NÁKLADY</t>
  </si>
  <si>
    <t>1.-5./18 hodnota stravenky 110 Kč; od 6/18 hodnota 120 Kč</t>
  </si>
  <si>
    <t>SILNIČNÍ DAŇ</t>
  </si>
  <si>
    <t>OSTATNÍ POKUTY A PENÁLE</t>
  </si>
  <si>
    <t>KURSOVÉ ZTRÁTY</t>
  </si>
  <si>
    <t>ODPISY</t>
  </si>
  <si>
    <t>Středisko: 100198 FAKULTA</t>
  </si>
  <si>
    <t>Středisko: 101040</t>
  </si>
  <si>
    <t>Středisko: 101100 PROSTŘEDKY DĚKANA</t>
  </si>
  <si>
    <t>OSTATNÍ SLUŽBY (Poštovné)</t>
  </si>
  <si>
    <t>Každý semestr oceněno 11 kurzů, odměna 5.000,- pro přednášející, 1.000,- pro cvičící (pro jistotu počítáné průměr 2.5 cvičícího na předmět)</t>
  </si>
  <si>
    <t>Středisko: 600690 VaVpI</t>
  </si>
  <si>
    <t>Středisko: 600691</t>
  </si>
  <si>
    <t>Rozpočet FSV UK pro rok 2018</t>
  </si>
  <si>
    <t>tzv. Lambert</t>
  </si>
  <si>
    <t>Stipendia určená studentům anglických doktorských studijních programu</t>
  </si>
  <si>
    <t xml:space="preserve">zpracování monitorovací zprávy </t>
  </si>
  <si>
    <t>replikace</t>
  </si>
  <si>
    <t>Podrobnosti</t>
  </si>
  <si>
    <t>Tubusy</t>
  </si>
  <si>
    <t>Diplomy</t>
  </si>
  <si>
    <t>Kancelářské potřeby pro uchazeče na přijímací řízení</t>
  </si>
  <si>
    <t>Kancelářské potřeby pro přijaté uchazeče</t>
  </si>
  <si>
    <t>Obálky, tiskoviny</t>
  </si>
  <si>
    <t>Hodnocení testů - smlouva s BT Praha</t>
  </si>
  <si>
    <t>Zpracování výsledků  - smlouva SCIO</t>
  </si>
  <si>
    <t>Licence Antiplagiátorský program (5000 EUR)</t>
  </si>
  <si>
    <t>Licence STATISTIKA</t>
  </si>
  <si>
    <t>TV - PF+FF</t>
  </si>
  <si>
    <t xml:space="preserve">Občerstvení vědecká rada (8x ročně), ediční komise, rada Progres, celkem min. 15 zasedání,a 300 Kč, </t>
  </si>
  <si>
    <t>květiny pro paní Vavrouškovou</t>
  </si>
  <si>
    <t>tisk diplomů na Cenu J. Vavrouška</t>
  </si>
  <si>
    <t>ocenění studentů v rámci Ceny J. Vavrouška</t>
  </si>
  <si>
    <t>Ověřování listin, ověřené překlady, překlady smluv</t>
  </si>
  <si>
    <t>konzultace s externisty (auditoři)</t>
  </si>
  <si>
    <t>posudky hab. práce, smlouvy o dílo, kalkulace - jeden posudek 3500 Kč, jedno řízení 3 posudky</t>
  </si>
  <si>
    <t>Cestovné mimopražských členů vědecké rady, popř. refundace hab. či jmenovací komise, zahraniční člen komise Ceny J. Vavrouška</t>
  </si>
  <si>
    <t>odměny členové komise Ceny J. Vavrouška, administrátor ceny; habilitační komise</t>
  </si>
  <si>
    <t>odměny externí členové komise Ceny J. Vavrouška; člentství v komisích; studenti GAUK příkazci</t>
  </si>
  <si>
    <t>Ubytování hosté na VR</t>
  </si>
  <si>
    <t>vstupní+periodické prohlídky, výpisy zdravotní dokumentace</t>
  </si>
  <si>
    <t xml:space="preserve">OSTATNÍ SOCIÁLNÍ NÁKLADY </t>
  </si>
  <si>
    <t>příspěvek na roční kupon</t>
  </si>
  <si>
    <t>bankovní poplatky, osobní certifikáty</t>
  </si>
  <si>
    <t>stravné zaměstnanci menza</t>
  </si>
  <si>
    <t>úvodní a seznamovací kurzy, právní služby, poradenství</t>
  </si>
  <si>
    <t>občerstvení senát</t>
  </si>
  <si>
    <t>PC, NBT, tiskárny, příslušenství, kabely</t>
  </si>
  <si>
    <t>LAN sítě provoz + správa</t>
  </si>
  <si>
    <t>MSOLIT, GDPR, UNIFLOW, Biocev, externí IT služby</t>
  </si>
  <si>
    <t xml:space="preserve">Newton Media Monitoring [NEWTON Media, a.s.] </t>
  </si>
  <si>
    <t>ČTK</t>
  </si>
  <si>
    <t>DigiZeitschriften</t>
  </si>
  <si>
    <t>Library Press Display</t>
  </si>
  <si>
    <t>Anopress</t>
  </si>
  <si>
    <t>Citace Pro</t>
  </si>
  <si>
    <t>e-knihy</t>
  </si>
  <si>
    <t>Abby Fine Reader</t>
  </si>
  <si>
    <t>DILIA - polatky za kopirovani</t>
  </si>
  <si>
    <t>Sage</t>
  </si>
  <si>
    <t>vazba</t>
  </si>
  <si>
    <t>autodoprava</t>
  </si>
  <si>
    <t>překlady do AJ</t>
  </si>
  <si>
    <t>kopirovací služby - faktury za provoz kopirek</t>
  </si>
  <si>
    <t>pořízení skenů</t>
  </si>
  <si>
    <t>Podrobnosti:</t>
  </si>
  <si>
    <t>knihy, knihy pro NK-RIV, periodika</t>
  </si>
  <si>
    <t>knihy Karolinum</t>
  </si>
  <si>
    <t>UKUK - CEL - doplatek páteřní zdroje</t>
  </si>
  <si>
    <t>UKUK - CEL - doplatek EBSCO (s FHS)</t>
  </si>
  <si>
    <t>Knihovna Jinonice</t>
  </si>
  <si>
    <t>platby UKUK</t>
  </si>
  <si>
    <t>knihy Jinonice</t>
  </si>
  <si>
    <t>členství v organizacích</t>
  </si>
  <si>
    <t>Propagační předměty FSV UK: Propisky s potiskem na konference/akce/pro uchazeče</t>
  </si>
  <si>
    <t>Propagační předměty FSV UK: Bonbony FSV UK</t>
  </si>
  <si>
    <t>Samolepky "studuj společnost" a s novým logem/erbem</t>
  </si>
  <si>
    <t>Kapesní kalendáře</t>
  </si>
  <si>
    <t>Propagační předměty FSV UK: Desky A4 s chlopněmi</t>
  </si>
  <si>
    <t>Propagační předměty FSV UK: Lepící záložky</t>
  </si>
  <si>
    <t>Propagační předměty: síťovky</t>
  </si>
  <si>
    <t>medaile - ceniny, budou se vydávat ze skladu</t>
  </si>
  <si>
    <t>Propagační předměty FSV UK: Bloky A5</t>
  </si>
  <si>
    <t>Propagační předměty FSV UK z prodejní kolekce - kupované z 800 107 pro potřeby PR a studentských akcí a spolků</t>
  </si>
  <si>
    <t>Propagační předměty FSV UK: Šátky + kravaty</t>
  </si>
  <si>
    <t>Další propagační předměty</t>
  </si>
  <si>
    <t>Obálky Office Depot s logem pro součásti + hlavičkové papíry</t>
  </si>
  <si>
    <t>Dotované vizitky pro zaměstnance (jen do 15. února, od února v rozpočtu sekretariátu děkana)</t>
  </si>
  <si>
    <t>vitrina pro výstavu insignií a propagační předměty</t>
  </si>
  <si>
    <t>monitoring, drobná vydání, taxi ad.</t>
  </si>
  <si>
    <t>tabule cti - hliníková cedule se jmény dárců - insignie</t>
  </si>
  <si>
    <t>Cestovné: Veletrh Gaudeamus Brno - 1 zástupce fakulty (+rektorát vysílá i hradí studenty)</t>
  </si>
  <si>
    <t>Cestovné: Veletrh Akademia &amp; Vapac Bratislava - 2 zástupci fakulty</t>
  </si>
  <si>
    <t>Cestovné: Veletrh Gaudeamus Nitra - 1 zástupce fakulty</t>
  </si>
  <si>
    <t>Cestovné: Zahraniční veletrhy (23. 1. Master and More, Milano (Bílovská, OZS, Fišerová, PR), cca 20 tis.; 23. - 24. 2. - University Fairs - Tbilisi (Vichnarová, OZS, Zapotilová, PR) cca 40 tis.; jednání o podzimních veletrzích proběhne ve spolupráci PR a OZS + příslušné proděkanky - v květnu/červnu)</t>
  </si>
  <si>
    <t>kávový catering na akci Sen se stal skutečností</t>
  </si>
  <si>
    <t>kytice k předání na akci Sen se stal skutečností</t>
  </si>
  <si>
    <t>jednání a schůzky mluvčího, briefingy s novináři</t>
  </si>
  <si>
    <t>výstava fotografií k insigniím - tisk fotografií</t>
  </si>
  <si>
    <t>překlady anglických textů - Přísahejme na vlastní - publikace o insigniích</t>
  </si>
  <si>
    <t>fotografie pro knihu Příshejme na vlastní</t>
  </si>
  <si>
    <t>grafická úprava a tisková produkce knihy Přísahejme na vlastní</t>
  </si>
  <si>
    <t>kniha "Přísahejme na vlastní" - předtisková úprava</t>
  </si>
  <si>
    <t>kapela Jazzika - vystoupení na akci Sen se stal skutečností</t>
  </si>
  <si>
    <t>paspartovní - mistrovy náčrtky - odměny z hithitu</t>
  </si>
  <si>
    <t>krabičky na fragmenty zrodu - odměny z hithitu</t>
  </si>
  <si>
    <t>Inzerce Aero Films - 2,5 měsíce slide CZ a EN</t>
  </si>
  <si>
    <t>kustodské služby k výstavě insignií</t>
  </si>
  <si>
    <t>Komplexní prezentace na vysokeskoly.cz, vysokeskoly.sk</t>
  </si>
  <si>
    <t>doplatek celoročních inzercí na StudyPortals a Masterstudies (většina hrazena z RP 921150, ale nepokryje celé)</t>
  </si>
  <si>
    <t>inzerce Prager Zeitung</t>
  </si>
  <si>
    <t>inzerce v Jak na VŠ leden</t>
  </si>
  <si>
    <t>Plošná inzerce - Učitelské noviny</t>
  </si>
  <si>
    <t>Plošná inzerce - Kampomaturitě.cz tištěný časopis (2x 5868,5)</t>
  </si>
  <si>
    <t>PPC kampaně (AdWords - cizojazyčné programy - 4 tis. měsíčně + DPH)</t>
  </si>
  <si>
    <t>správa PPC kampaní - cca 7tis. měsíčně + DPH</t>
  </si>
  <si>
    <t>ČTK protext - 10 tiskových zpráv předplatné</t>
  </si>
  <si>
    <t>případná další inzerce, př. Redway, atlasskolstvi.cz apod.</t>
  </si>
  <si>
    <t>Focení zaměstnanců, Jiří Thýn - foto na webové stránky fakulty + pro potřeby zaměstnanců</t>
  </si>
  <si>
    <t>Podpora větších studentských akcí: Galavečer</t>
  </si>
  <si>
    <t>Podpora větších studentských akcí: Pavlač</t>
  </si>
  <si>
    <t>Tisk dokumentů k medailím se jménem (ruční papír + desky)</t>
  </si>
  <si>
    <t>Grafické práce: FSV Intro - grafika CZ a EN verze</t>
  </si>
  <si>
    <t>Grafické práce: Výroční zpráva</t>
  </si>
  <si>
    <t>Grafické práce: Brožura U3V</t>
  </si>
  <si>
    <t>Grafické práce: letáky institutů</t>
  </si>
  <si>
    <t>Grafické práce: zpracování inzerátů a bannerů</t>
  </si>
  <si>
    <t>Grafické práce: příprava novoročenek</t>
  </si>
  <si>
    <t>Grafické práce: grafika letáků, plakátů, brožur, certifikátů součástí FSV, nový leták psychologické první pomoci</t>
  </si>
  <si>
    <t>Grafické práce: plakáty, bannery, vlajky, potisky; podpora součástí</t>
  </si>
  <si>
    <t>Grafické práce: anglické letáky k promocím</t>
  </si>
  <si>
    <t>Grafické práce: české letáky k promocím - redesign</t>
  </si>
  <si>
    <t>Grafické práce: redesign PPT prezentace a vizitek v souladu s novým designem webu a JVS UK</t>
  </si>
  <si>
    <t>Grafické práce: ostatní grafické práce</t>
  </si>
  <si>
    <t>Tiskové služby: FSV Intro</t>
  </si>
  <si>
    <t>Tiskové služby: Výroční zpráva</t>
  </si>
  <si>
    <t>Tiskové služby: Tisk plakátů Hyde Park</t>
  </si>
  <si>
    <t>Tiskové služby: Tisk letáků - instituty</t>
  </si>
  <si>
    <t>Tiskové služby: Tisk "podmínek přijímacího řízení"</t>
  </si>
  <si>
    <t>Tiskové služby: Tisk letáků k promocím CZ aEN</t>
  </si>
  <si>
    <t>Tiskové služby: Tisk brožury U3V (část hradí CŽV)</t>
  </si>
  <si>
    <t>Tiskové služby: dotisk - mapa Prahy se zakreslením budov FSV UK a potiskem zadní strany</t>
  </si>
  <si>
    <t>Tiskové služby: Tisk novoročenek + obálek</t>
  </si>
  <si>
    <t>Tiskové služby: rozcestník - přehled kateder</t>
  </si>
  <si>
    <t>Tiskové služby: Zlatý kurz diplom, certifikáty pro partnerské školy</t>
  </si>
  <si>
    <t>Tiskové služby: cizojazyčné letáky</t>
  </si>
  <si>
    <t>Tiskové služby: plakáty k propagačním předmětům</t>
  </si>
  <si>
    <t>Tiskové služby: ostatní tiskové služby</t>
  </si>
  <si>
    <t>Rollupy - aktualizace loga  - výměny plátna + nový do budovy na Staroměstském náměstí</t>
  </si>
  <si>
    <t>Překlady, korektury</t>
  </si>
  <si>
    <t>Krizová komunikace</t>
  </si>
  <si>
    <t>Výpomoc - převoz materiálů na veletrhy a další akce, další technická výpomoc + vč. přípravy výstavy k insigniím, nákup a stavba vitrín</t>
  </si>
  <si>
    <t>UX design a konzultace, analýza stávajícího stavu, návrh informační architektury, přechod na nové šablony - weby institutů a knihovny + konzultace k webu fsv</t>
  </si>
  <si>
    <t>Zahraniční veletrhy: výstavní plocha, registrace (23. 1. Master and More, Milano , cca 50 tis.; 23. - 24. 2. - University Fairs - Tbilisi  cca 67 tis. Jednání o podzimních veletrzích proběhne ve spolupráci PR a OZS + příslušné proděkanky - v květnu/červnu)</t>
  </si>
  <si>
    <t>nové cedule s novým logem (změna názvu UK + loga) - Opletalova, Hollar - mosaz, Staroměstské nám hliník, Jinonice plast</t>
  </si>
  <si>
    <t>PPC kampaně na sociálních sítích</t>
  </si>
  <si>
    <t>stipendia na projekt SVS</t>
  </si>
  <si>
    <t>natáčení + koordinace + focení + výpomoc - Sen se stal skutečností</t>
  </si>
  <si>
    <t>rozhovory se zajímavými studenty - video + psané</t>
  </si>
  <si>
    <t>focení akcí, výpomoc na prezentačních akcích</t>
  </si>
  <si>
    <t>studentský brigádník - sociální sítě, rezervace prostor v budově na Star. nám apod.</t>
  </si>
  <si>
    <t>výzkum prvních ročníků u zápisů - přepis dotazníků</t>
  </si>
  <si>
    <t>Aneta Caltová - zápisy a občerstvení - výpomoc na jednání AS FSV UK - 1. pololetí</t>
  </si>
  <si>
    <t>VELETRHY CZ + SK - registrační poplatky, výstavní plocha, montáž: Veletrh Akademia &amp; Vapac Bratislava</t>
  </si>
  <si>
    <t>VELETRHY CZ + SK - registrační poplatky, výstavní plocha, montáž: Veletrh Gaudeamus Nitra</t>
  </si>
  <si>
    <t>rektorátní zaměstnanci - na akci Sen se stal skutečností</t>
  </si>
  <si>
    <t>VELETRHY CZ + SK - registrační poplatky, výstavní plocha, montáž: Veletrh Gaudeamus Praha</t>
  </si>
  <si>
    <t>VELETRHY CZ + SK - registrační poplatky, výstavní plocha, montáž: Veletrh Gaudeamus Brno</t>
  </si>
  <si>
    <t>Podrobně</t>
  </si>
  <si>
    <t>Provozní rozpočet fakulty FSV UK 2018 souhrn</t>
  </si>
  <si>
    <t>Hollar</t>
  </si>
  <si>
    <t>Opletalova</t>
  </si>
  <si>
    <t>Jinonice</t>
  </si>
  <si>
    <t>Krystal</t>
  </si>
  <si>
    <t>Celetná</t>
  </si>
  <si>
    <t>Staroměstské náměstí</t>
  </si>
  <si>
    <t xml:space="preserve">Středisko fakulta </t>
  </si>
  <si>
    <t>Rozpočet oprav FSV</t>
  </si>
  <si>
    <t>HOLLAR</t>
  </si>
  <si>
    <t>Dodavatel vody</t>
  </si>
  <si>
    <t>Dodavatel elektřiny</t>
  </si>
  <si>
    <t>Dodavatel plynu</t>
  </si>
  <si>
    <t xml:space="preserve">Úklidové služby </t>
  </si>
  <si>
    <t>Hygienické a kacelářské potřeby (papírové ručníky, toaletní papír, fixy na tabule) - objednávky z PTO</t>
  </si>
  <si>
    <t>Revize a servis EPS, EZS, CCTV</t>
  </si>
  <si>
    <t>Revize a servis výtahů</t>
  </si>
  <si>
    <t>Revize a servis kotlů</t>
  </si>
  <si>
    <t>Revize hasících přístrojů</t>
  </si>
  <si>
    <t>Drobné revize (přetlakový ventil, komíny, ex. nádoba atd.)</t>
  </si>
  <si>
    <t>Opravy elektro</t>
  </si>
  <si>
    <t>Opravy instalatéři</t>
  </si>
  <si>
    <t>Servis klimatizace, VZT</t>
  </si>
  <si>
    <t>Čištění rohožek (vstup do budovy, knihovna)</t>
  </si>
  <si>
    <t xml:space="preserve">Ostraha - připojení k centrálnímu pultu ochrany </t>
  </si>
  <si>
    <t xml:space="preserve">Fyzická ostraha ve večerních hodinách </t>
  </si>
  <si>
    <t>Drobný nákup za hotové (spojovací materiál, instalarérské potřeby, výroba klíčů, náhradní díly, barva, lepidlo, sazenice do truhlíků atd.)</t>
  </si>
  <si>
    <t>Odvoz odpadu</t>
  </si>
  <si>
    <t>Truhlářské práce</t>
  </si>
  <si>
    <t>Drobné opravy a materiál (žárovky, zavírač dveří, oprava turniketu, zasklívání, orientační systém, deratizace atd.)</t>
  </si>
  <si>
    <t>Čištění fasády</t>
  </si>
  <si>
    <t>OPLETALOVA</t>
  </si>
  <si>
    <t>Revize požárních klapek</t>
  </si>
  <si>
    <t>Revize CHÚC</t>
  </si>
  <si>
    <t>Drobné revize (přetlakový ventil, komín, ex. nádoba, zdvihací plošina atd.)</t>
  </si>
  <si>
    <t>Drobný nákup za hotové (spojovací materiál, instalarérské potřeby, výroba klíčů, barva, lepidlo, sazenice do truhlíků atd.)</t>
  </si>
  <si>
    <t>Drobné opravy a materiál (žárovky, zavírač dveří, oprava expanzní nádoby, zasklívání atd.)</t>
  </si>
  <si>
    <t>Ostraha objektu</t>
  </si>
  <si>
    <t>Revize, údržba a opravy</t>
  </si>
  <si>
    <t>JINONICE</t>
  </si>
  <si>
    <t>Náklady za elektřinu a vodné stočné</t>
  </si>
  <si>
    <t>Podíl na společných nákladech</t>
  </si>
  <si>
    <t>Revize a oprava VZT (filtry)</t>
  </si>
  <si>
    <t>Revize ostatní (EPS, EZS, CCTV, Hasební systém, atd.)</t>
  </si>
  <si>
    <t>Tefefony</t>
  </si>
  <si>
    <t xml:space="preserve">Drobné opravy </t>
  </si>
  <si>
    <t>KRYSTAL</t>
  </si>
  <si>
    <t>CELETNÁ</t>
  </si>
  <si>
    <t>Náklady za energie RTL</t>
  </si>
  <si>
    <t>STAROMĚSTSKÉ NÁMĚSTÍ</t>
  </si>
  <si>
    <t xml:space="preserve">Nájem </t>
  </si>
  <si>
    <t>Platby za služby</t>
  </si>
  <si>
    <t>Stěhování</t>
  </si>
  <si>
    <t>Nákup drobného materiálu</t>
  </si>
  <si>
    <t>FAKULTA</t>
  </si>
  <si>
    <t>Pojištění movitého majetku</t>
  </si>
  <si>
    <t>Pojištění nemovitého majetku</t>
  </si>
  <si>
    <t>Zajištění BOZP a PO</t>
  </si>
  <si>
    <t xml:space="preserve">Revize elektro spotřebičů </t>
  </si>
  <si>
    <t>Servis skútry</t>
  </si>
  <si>
    <t>Pojištění skútry</t>
  </si>
  <si>
    <t>Odvoz a likvidace vyřazeného majetku</t>
  </si>
  <si>
    <t>Koncesionářské poplatky rozhlas a televize</t>
  </si>
  <si>
    <t>Telefony (Telefonica O2, T-Mobile) Hollar-Opletalova</t>
  </si>
  <si>
    <t>Příhradečné</t>
  </si>
  <si>
    <t>Autodoprava (stěhování + taxi)</t>
  </si>
  <si>
    <t>Razítka, léky do lekárničky, poplatky</t>
  </si>
  <si>
    <t>ROZPOČET OPRAV</t>
  </si>
  <si>
    <t>kofinancování projektu na rekonstrukci Jinonic</t>
  </si>
  <si>
    <t xml:space="preserve">Doplnění sirén k požárnímu poplašnému systému </t>
  </si>
  <si>
    <t>Výměna klimatizační jednotky - serverovna</t>
  </si>
  <si>
    <t>Malířské a lakýrnické práce (kancelář č. 117, 19, chodby)</t>
  </si>
  <si>
    <t>Oprava podlahové krytiny</t>
  </si>
  <si>
    <t>Oprava a seřízení oken, montáž frézovaného těsnění do okna kancelář 16/A, 17, 216</t>
  </si>
  <si>
    <t>Oprava dveří kancelář 207 a 208</t>
  </si>
  <si>
    <t>Čištění čalouněných židlí</t>
  </si>
  <si>
    <t>Oprava okna do vrátnice</t>
  </si>
  <si>
    <t>Úprava umístění světel kancelář 201/B</t>
  </si>
  <si>
    <t>Výměna kuchyňské linky - místnost č. 212</t>
  </si>
  <si>
    <t>Oprava dveří do dvora</t>
  </si>
  <si>
    <t>Výměna větráku v místnosti č. 3107</t>
  </si>
  <si>
    <t>úvodní kurzy</t>
  </si>
  <si>
    <t>seznamovací kurzy</t>
  </si>
  <si>
    <t>mobilní dotykový terminál 2 ks</t>
  </si>
  <si>
    <t>Kooperativa</t>
  </si>
  <si>
    <t xml:space="preserve">odvod dle zákona o zaměstnanosti </t>
  </si>
  <si>
    <t>platby v pokladně na našem terminálu + EET</t>
  </si>
  <si>
    <t>osobní certifikáty</t>
  </si>
  <si>
    <t>ostatní</t>
  </si>
  <si>
    <t>PODROBNOSTI:</t>
  </si>
  <si>
    <t>Výměna svítidel posluchárna 109</t>
  </si>
  <si>
    <t>Stavba lešení posluchárna 109</t>
  </si>
  <si>
    <t>Výměna bojleru teplé vody</t>
  </si>
  <si>
    <t>Repase expanzního automatu Olymp</t>
  </si>
  <si>
    <t>Malování čelních stěn v učebnách, předsálí 109 a 314</t>
  </si>
  <si>
    <t>Lakýrnické práce - lokální oprava interiérových dveří</t>
  </si>
  <si>
    <t>Tabule do posluchárny č. 105</t>
  </si>
  <si>
    <t>Výměna čistící zóny vstupního schodiště</t>
  </si>
  <si>
    <t xml:space="preserve">Montáž redukčního ventilu na vodovodní řad </t>
  </si>
  <si>
    <t>Výměna elektrických jističů</t>
  </si>
  <si>
    <t>Kontrola a doplnění značení jističů</t>
  </si>
  <si>
    <t>Výměna stropních svítidel</t>
  </si>
  <si>
    <t>Pokládka koberců</t>
  </si>
  <si>
    <t>Zařízení kuchyňky - chladnička s mrazákem</t>
  </si>
  <si>
    <t>minitendry poradenka 200 tis. Kč, JOBS 300 tis. Kč, personální agentura, Vyškovská (daň. poradce)</t>
  </si>
  <si>
    <t>DHM</t>
  </si>
  <si>
    <t>výběrová řízení PRSP</t>
  </si>
  <si>
    <t>právní služby nad rámec české legislativy</t>
  </si>
  <si>
    <t>Nákup softwarových licencí (Microsoft, antivirus, Grammarly apod.)</t>
  </si>
  <si>
    <t>Síťové a komunikační prvky (náhradní AP, routery, konzole, síťové karty apod.)</t>
  </si>
  <si>
    <t>Počítačové příslušenství (harddisky, RAM paměti apod.)</t>
  </si>
  <si>
    <t>Jiné kancelářské potřeby (baterie do ovladačů apod.)</t>
  </si>
  <si>
    <t>Specializovaná koncová zařízení (projekční plátna apod.)</t>
  </si>
  <si>
    <t>PC periferie (monitory, myši, klávesnice, tiskárny)</t>
  </si>
  <si>
    <t>Opravy multimediálních místností (Hollar, Opletalova, Jinonice), včetně rozvodů a kabeláží</t>
  </si>
  <si>
    <t>Externí IT služby - vývoj nových webů</t>
  </si>
  <si>
    <t>Externí IT služby - serverhousing</t>
  </si>
  <si>
    <t>Externí IT služby - Uniflow tisk. systém</t>
  </si>
  <si>
    <t>Externí IT služby - MSOLIT - opravy office365.fsv.cuni.cz</t>
  </si>
  <si>
    <t>Externí konzultace (GDPR, eIDAS, AD doména apod.)</t>
  </si>
  <si>
    <t>Externí IT služby - tel. ústředna</t>
  </si>
  <si>
    <t>Externí IT služby - diagnostika PC</t>
  </si>
  <si>
    <t>Správa LAN sítě</t>
  </si>
  <si>
    <t>Posílení kapacity a zabezpeční sítě</t>
  </si>
  <si>
    <t>Ph.D. absolventi</t>
  </si>
  <si>
    <t>Celkem bez Ph.D.</t>
  </si>
  <si>
    <t>Příspěvek úvodní kurz</t>
  </si>
  <si>
    <t>Příspěvek seznamovací kurz</t>
  </si>
  <si>
    <t>přijímačky (po vyrovnání s instituty)</t>
  </si>
  <si>
    <t>nostrifikace + habilitace</t>
  </si>
  <si>
    <t>OSTATNÍ PŘÍJMY</t>
  </si>
  <si>
    <t>odpisy DHM z dotace (papírové výnosy)</t>
  </si>
  <si>
    <t>100106, 100140, 100170, 100190, 100198, 600691</t>
  </si>
  <si>
    <t>100140, 100198</t>
  </si>
  <si>
    <t>PŘÍSPĚVEK MŠMT NA ODPISY</t>
  </si>
  <si>
    <t>100198 (stravenky), 101040 (PLS)</t>
  </si>
  <si>
    <t>100130, 100140, 100198, 101100, 101101,101111</t>
  </si>
  <si>
    <t>100130, 100140, 101111</t>
  </si>
  <si>
    <t>100198, 100140</t>
  </si>
  <si>
    <t>pojištění Kooperativa, odvod dle zákona o zaměst. (zdrav.postiž.)</t>
  </si>
  <si>
    <t>100101, 100140, 100180, 100198</t>
  </si>
  <si>
    <t>100101, 100107, 100030, 100170, 100180, 100190, 100198, 101111, 101117</t>
  </si>
  <si>
    <t>100107, 100140, 100190</t>
  </si>
  <si>
    <t>100106, 100030, 100140, 100190, 100198, 101111</t>
  </si>
  <si>
    <t>Středisko: 100117</t>
  </si>
  <si>
    <t>Středisko: 101111</t>
  </si>
  <si>
    <t>Středisko: 101101</t>
  </si>
  <si>
    <t>Středisko: 100198</t>
  </si>
  <si>
    <t>Středisko: 100190</t>
  </si>
  <si>
    <t>Středisko: 100170</t>
  </si>
  <si>
    <t>Středisko: 100140</t>
  </si>
  <si>
    <t>Středisko: 100030</t>
  </si>
  <si>
    <t>Středisko: 100107</t>
  </si>
  <si>
    <t>z toho stipendia v případech zvláštního zřetele hodných</t>
  </si>
  <si>
    <t>z toho  stipendia na podporu mobility</t>
  </si>
  <si>
    <t>z toho stipendia na podporu výuky doktorandy</t>
  </si>
  <si>
    <t>z toho stipendia ostatní vč. PVS a publikační aktivita</t>
  </si>
  <si>
    <t>2017 Celkem</t>
  </si>
  <si>
    <t>dotace Progres 2017</t>
  </si>
  <si>
    <t>Vyrovnání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</si>
</sst>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_ ;[Red]\-#,##0\ "/>
    <numFmt numFmtId="166" formatCode="#,##0.0"/>
    <numFmt numFmtId="167" formatCode="0.0"/>
    <numFmt numFmtId="168" formatCode="0.000"/>
    <numFmt numFmtId="169" formatCode="#,##0.0\ ;[Red]\-#,##0.0\ "/>
    <numFmt numFmtId="170" formatCode="#,##0\ ;[Red]\-#,##0\ "/>
    <numFmt numFmtId="171" formatCode="#,###"/>
    <numFmt numFmtId="172" formatCode="#,##0.000"/>
    <numFmt numFmtId="173" formatCode="#,##0\ ;[Red]\-#,##0\ ;&quot;– &quot;"/>
    <numFmt numFmtId="174" formatCode="#,##0.00\ ;[Red]\-#,##0.00\ "/>
    <numFmt numFmtId="175" formatCode="#,##0.00\ [$Kč-405];[Red]\-#,##0.00\ [$Kč-405]"/>
    <numFmt numFmtId="176" formatCode="#,##0.00_ ;[Red]\-#,##0.00\ "/>
    <numFmt numFmtId="177" formatCode="0.000%"/>
    <numFmt numFmtId="178" formatCode="_-* #,##0\ _K_č_-;\-* #,##0\ _K_č_-;_-* &quot;-&quot;??\ _K_č_-;_-@_-"/>
    <numFmt numFmtId="179" formatCode="#,##0.00\ _K_č"/>
    <numFmt numFmtId="180" formatCode="#,##0\ _K_č"/>
  </numFmts>
  <fonts count="6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sz val="7"/>
      <name val="Tahoma"/>
      <family val="2"/>
      <charset val="238"/>
    </font>
    <font>
      <b/>
      <sz val="7"/>
      <color indexed="10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7"/>
      <name val="Tahoma"/>
      <family val="2"/>
      <charset val="238"/>
    </font>
    <font>
      <sz val="7"/>
      <color indexed="8"/>
      <name val="Tahoma"/>
      <family val="2"/>
      <charset val="238"/>
    </font>
    <font>
      <sz val="7"/>
      <color indexed="10"/>
      <name val="Tahoma"/>
      <family val="2"/>
      <charset val="238"/>
    </font>
    <font>
      <b/>
      <sz val="7"/>
      <color rgb="FFFF0000"/>
      <name val="Tahoma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2"/>
      <color theme="1"/>
      <name val="Calibri"/>
      <family val="2"/>
      <scheme val="minor"/>
    </font>
    <font>
      <sz val="10"/>
      <name val="Luxi Sans"/>
      <family val="2"/>
      <charset val="238"/>
    </font>
    <font>
      <i/>
      <sz val="7"/>
      <name val="Tahoma"/>
      <family val="2"/>
      <charset val="238"/>
    </font>
    <font>
      <sz val="7"/>
      <color theme="1"/>
      <name val="Tahoma"/>
      <family val="2"/>
      <charset val="238"/>
    </font>
    <font>
      <sz val="7"/>
      <name val="Arial"/>
      <family val="2"/>
      <charset val="238"/>
    </font>
    <font>
      <sz val="8"/>
      <color indexed="44"/>
      <name val="Tahoma"/>
      <family val="2"/>
      <charset val="238"/>
    </font>
    <font>
      <b/>
      <sz val="9"/>
      <color indexed="8"/>
      <name val="Times New Roman"/>
      <family val="1"/>
      <charset val="238"/>
    </font>
    <font>
      <sz val="7"/>
      <color theme="0" tint="-0.34998626667073579"/>
      <name val="Tahoma"/>
      <family val="2"/>
      <charset val="238"/>
    </font>
    <font>
      <sz val="7"/>
      <color rgb="FFFF0000"/>
      <name val="Tahoma"/>
      <family val="2"/>
      <charset val="238"/>
    </font>
    <font>
      <sz val="7"/>
      <color rgb="FFFF0000"/>
      <name val="Arial"/>
      <family val="2"/>
      <charset val="238"/>
    </font>
    <font>
      <i/>
      <sz val="7"/>
      <name val="Arial"/>
      <family val="2"/>
      <charset val="238"/>
    </font>
    <font>
      <sz val="7"/>
      <color indexed="23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Verdan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name val="Verdana"/>
      <family val="2"/>
      <charset val="238"/>
    </font>
    <font>
      <sz val="8"/>
      <color rgb="FF000000"/>
      <name val="Calibri"/>
      <family val="2"/>
      <charset val="238"/>
    </font>
    <font>
      <sz val="6"/>
      <name val="Verdana"/>
      <family val="2"/>
      <charset val="238"/>
    </font>
    <font>
      <sz val="6"/>
      <color theme="1"/>
      <name val="Verdana"/>
      <family val="2"/>
      <charset val="238"/>
    </font>
    <font>
      <sz val="8"/>
      <color rgb="FF002060"/>
      <name val="Verdana"/>
      <family val="2"/>
      <charset val="238"/>
    </font>
    <font>
      <i/>
      <sz val="8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9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rgb="FFC6D9F0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22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27" applyNumberFormat="0" applyFill="0" applyAlignment="0" applyProtection="0"/>
    <xf numFmtId="43" fontId="3" fillId="0" borderId="0" applyFont="0" applyFill="0" applyBorder="0" applyAlignment="0" applyProtection="0"/>
    <xf numFmtId="0" fontId="30" fillId="0" borderId="0"/>
    <xf numFmtId="9" fontId="22" fillId="0" borderId="0" applyFill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8" borderId="25" applyNumberFormat="0" applyAlignment="0" applyProtection="0"/>
    <xf numFmtId="44" fontId="3" fillId="0" borderId="0" applyFont="0" applyFill="0" applyBorder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3" fillId="0" borderId="0"/>
    <xf numFmtId="0" fontId="22" fillId="0" borderId="0"/>
    <xf numFmtId="0" fontId="3" fillId="0" borderId="0"/>
    <xf numFmtId="0" fontId="2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2" fillId="0" borderId="0"/>
    <xf numFmtId="9" fontId="33" fillId="0" borderId="0" applyFont="0" applyFill="0" applyBorder="0" applyAlignment="0" applyProtection="0"/>
    <xf numFmtId="0" fontId="3" fillId="9" borderId="26" applyNumberFormat="0" applyFon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24" applyNumberFormat="0" applyFill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6" borderId="22" applyNumberFormat="0" applyAlignment="0" applyProtection="0"/>
    <xf numFmtId="0" fontId="17" fillId="7" borderId="22" applyNumberFormat="0" applyAlignment="0" applyProtection="0"/>
    <xf numFmtId="0" fontId="16" fillId="7" borderId="23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9" fontId="22" fillId="0" borderId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43" fontId="2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2" fillId="0" borderId="0"/>
  </cellStyleXfs>
  <cellXfs count="728">
    <xf numFmtId="0" fontId="0" fillId="0" borderId="0" xfId="0"/>
    <xf numFmtId="0" fontId="0" fillId="0" borderId="0" xfId="0" applyFill="1"/>
    <xf numFmtId="0" fontId="23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165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 wrapText="1"/>
    </xf>
    <xf numFmtId="165" fontId="24" fillId="34" borderId="28" xfId="3" applyNumberFormat="1" applyFont="1" applyFill="1" applyBorder="1" applyAlignment="1">
      <alignment horizontal="center" vertical="center"/>
    </xf>
    <xf numFmtId="0" fontId="25" fillId="34" borderId="29" xfId="3" applyFont="1" applyFill="1" applyBorder="1" applyAlignment="1">
      <alignment horizontal="center" vertical="center" wrapText="1"/>
    </xf>
    <xf numFmtId="165" fontId="23" fillId="0" borderId="0" xfId="3" applyNumberFormat="1" applyFont="1" applyFill="1" applyBorder="1" applyAlignment="1">
      <alignment horizontal="center" vertical="center"/>
    </xf>
    <xf numFmtId="0" fontId="23" fillId="34" borderId="2" xfId="3" applyFont="1" applyFill="1" applyBorder="1" applyAlignment="1">
      <alignment vertical="center"/>
    </xf>
    <xf numFmtId="164" fontId="23" fillId="34" borderId="2" xfId="3" applyNumberFormat="1" applyFont="1" applyFill="1" applyBorder="1" applyAlignment="1">
      <alignment horizontal="center" vertical="center"/>
    </xf>
    <xf numFmtId="165" fontId="23" fillId="0" borderId="2" xfId="3" applyNumberFormat="1" applyFont="1" applyFill="1" applyBorder="1" applyAlignment="1">
      <alignment vertical="center"/>
    </xf>
    <xf numFmtId="165" fontId="26" fillId="34" borderId="2" xfId="3" applyNumberFormat="1" applyFont="1" applyFill="1" applyBorder="1" applyAlignment="1">
      <alignment vertical="center"/>
    </xf>
    <xf numFmtId="164" fontId="23" fillId="0" borderId="2" xfId="3" applyNumberFormat="1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right" vertical="center"/>
    </xf>
    <xf numFmtId="164" fontId="23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right" vertical="center"/>
    </xf>
    <xf numFmtId="165" fontId="26" fillId="0" borderId="0" xfId="3" applyNumberFormat="1" applyFont="1" applyFill="1" applyBorder="1" applyAlignment="1">
      <alignment vertical="center"/>
    </xf>
    <xf numFmtId="0" fontId="23" fillId="35" borderId="30" xfId="3" applyFont="1" applyFill="1" applyBorder="1" applyAlignment="1">
      <alignment horizontal="left" vertical="center"/>
    </xf>
    <xf numFmtId="165" fontId="23" fillId="35" borderId="18" xfId="3" applyNumberFormat="1" applyFont="1" applyFill="1" applyBorder="1" applyAlignment="1">
      <alignment horizontal="center" vertical="center"/>
    </xf>
    <xf numFmtId="165" fontId="26" fillId="35" borderId="18" xfId="3" applyNumberFormat="1" applyFont="1" applyFill="1" applyBorder="1" applyAlignment="1">
      <alignment horizontal="center" vertical="center"/>
    </xf>
    <xf numFmtId="165" fontId="23" fillId="35" borderId="31" xfId="3" applyNumberFormat="1" applyFont="1" applyFill="1" applyBorder="1" applyAlignment="1">
      <alignment horizontal="center" vertical="center"/>
    </xf>
    <xf numFmtId="165" fontId="23" fillId="35" borderId="32" xfId="3" applyNumberFormat="1" applyFont="1" applyFill="1" applyBorder="1" applyAlignment="1">
      <alignment horizontal="center" vertical="center"/>
    </xf>
    <xf numFmtId="165" fontId="23" fillId="35" borderId="34" xfId="3" applyNumberFormat="1" applyFont="1" applyFill="1" applyBorder="1" applyAlignment="1">
      <alignment horizontal="center" vertical="center"/>
    </xf>
    <xf numFmtId="164" fontId="23" fillId="35" borderId="35" xfId="3" applyNumberFormat="1" applyFont="1" applyFill="1" applyBorder="1" applyAlignment="1">
      <alignment horizontal="center" vertical="center"/>
    </xf>
    <xf numFmtId="165" fontId="27" fillId="35" borderId="18" xfId="3" applyNumberFormat="1" applyFont="1" applyFill="1" applyBorder="1" applyAlignment="1">
      <alignment horizontal="center" vertical="center"/>
    </xf>
    <xf numFmtId="164" fontId="23" fillId="35" borderId="17" xfId="3" applyNumberFormat="1" applyFont="1" applyFill="1" applyBorder="1" applyAlignment="1">
      <alignment horizontal="center" vertical="center"/>
    </xf>
    <xf numFmtId="165" fontId="23" fillId="35" borderId="36" xfId="3" applyNumberFormat="1" applyFont="1" applyFill="1" applyBorder="1" applyAlignment="1">
      <alignment horizontal="center" vertical="center"/>
    </xf>
    <xf numFmtId="0" fontId="23" fillId="35" borderId="30" xfId="3" applyFont="1" applyFill="1" applyBorder="1" applyAlignment="1">
      <alignment horizontal="right" vertical="center"/>
    </xf>
    <xf numFmtId="0" fontId="23" fillId="0" borderId="37" xfId="3" applyFont="1" applyFill="1" applyBorder="1" applyAlignment="1">
      <alignment horizontal="left" vertical="center"/>
    </xf>
    <xf numFmtId="164" fontId="23" fillId="0" borderId="38" xfId="3" applyNumberFormat="1" applyFont="1" applyFill="1" applyBorder="1" applyAlignment="1">
      <alignment horizontal="center" vertical="center"/>
    </xf>
    <xf numFmtId="165" fontId="23" fillId="0" borderId="2" xfId="3" applyNumberFormat="1" applyFont="1" applyFill="1" applyBorder="1" applyAlignment="1">
      <alignment horizontal="center" vertical="center"/>
    </xf>
    <xf numFmtId="165" fontId="26" fillId="34" borderId="2" xfId="3" applyNumberFormat="1" applyFont="1" applyFill="1" applyBorder="1" applyAlignment="1">
      <alignment horizontal="center" vertical="center"/>
    </xf>
    <xf numFmtId="165" fontId="23" fillId="0" borderId="3" xfId="3" applyNumberFormat="1" applyFont="1" applyFill="1" applyBorder="1" applyAlignment="1">
      <alignment horizontal="center" vertical="center"/>
    </xf>
    <xf numFmtId="164" fontId="27" fillId="0" borderId="35" xfId="3" applyNumberFormat="1" applyFont="1" applyFill="1" applyBorder="1" applyAlignment="1">
      <alignment horizontal="center" vertical="center"/>
    </xf>
    <xf numFmtId="165" fontId="23" fillId="0" borderId="17" xfId="3" applyNumberFormat="1" applyFont="1" applyFill="1" applyBorder="1" applyAlignment="1">
      <alignment horizontal="center" vertical="center"/>
    </xf>
    <xf numFmtId="164" fontId="23" fillId="0" borderId="39" xfId="3" applyNumberFormat="1" applyFont="1" applyFill="1" applyBorder="1" applyAlignment="1">
      <alignment horizontal="center" vertical="center"/>
    </xf>
    <xf numFmtId="165" fontId="23" fillId="0" borderId="16" xfId="3" applyNumberFormat="1" applyFont="1" applyFill="1" applyBorder="1" applyAlignment="1">
      <alignment horizontal="center" vertical="center"/>
    </xf>
    <xf numFmtId="164" fontId="23" fillId="0" borderId="1" xfId="3" applyNumberFormat="1" applyFont="1" applyFill="1" applyBorder="1" applyAlignment="1">
      <alignment horizontal="center" vertical="center"/>
    </xf>
    <xf numFmtId="0" fontId="23" fillId="0" borderId="37" xfId="3" applyFont="1" applyFill="1" applyBorder="1" applyAlignment="1">
      <alignment horizontal="right" vertical="center"/>
    </xf>
    <xf numFmtId="0" fontId="23" fillId="35" borderId="37" xfId="3" applyFont="1" applyFill="1" applyBorder="1" applyAlignment="1">
      <alignment horizontal="left" vertical="center"/>
    </xf>
    <xf numFmtId="165" fontId="23" fillId="35" borderId="2" xfId="3" applyNumberFormat="1" applyFont="1" applyFill="1" applyBorder="1" applyAlignment="1">
      <alignment horizontal="center" vertical="center"/>
    </xf>
    <xf numFmtId="165" fontId="26" fillId="35" borderId="2" xfId="3" applyNumberFormat="1" applyFont="1" applyFill="1" applyBorder="1" applyAlignment="1">
      <alignment horizontal="center" vertical="center"/>
    </xf>
    <xf numFmtId="165" fontId="23" fillId="35" borderId="3" xfId="3" applyNumberFormat="1" applyFont="1" applyFill="1" applyBorder="1" applyAlignment="1">
      <alignment horizontal="center" vertical="center"/>
    </xf>
    <xf numFmtId="164" fontId="27" fillId="35" borderId="39" xfId="3" applyNumberFormat="1" applyFont="1" applyFill="1" applyBorder="1" applyAlignment="1">
      <alignment horizontal="center" vertical="center"/>
    </xf>
    <xf numFmtId="165" fontId="23" fillId="35" borderId="1" xfId="3" applyNumberFormat="1" applyFont="1" applyFill="1" applyBorder="1" applyAlignment="1">
      <alignment horizontal="center" vertical="center"/>
    </xf>
    <xf numFmtId="165" fontId="23" fillId="35" borderId="16" xfId="3" applyNumberFormat="1" applyFont="1" applyFill="1" applyBorder="1" applyAlignment="1">
      <alignment horizontal="center" vertical="center"/>
    </xf>
    <xf numFmtId="164" fontId="23" fillId="35" borderId="39" xfId="3" applyNumberFormat="1" applyFont="1" applyFill="1" applyBorder="1" applyAlignment="1">
      <alignment horizontal="center" vertical="center"/>
    </xf>
    <xf numFmtId="165" fontId="27" fillId="35" borderId="2" xfId="3" applyNumberFormat="1" applyFont="1" applyFill="1" applyBorder="1" applyAlignment="1">
      <alignment horizontal="center" vertical="center"/>
    </xf>
    <xf numFmtId="164" fontId="23" fillId="35" borderId="1" xfId="3" applyNumberFormat="1" applyFont="1" applyFill="1" applyBorder="1" applyAlignment="1">
      <alignment horizontal="center" vertical="center"/>
    </xf>
    <xf numFmtId="0" fontId="23" fillId="35" borderId="37" xfId="3" applyFont="1" applyFill="1" applyBorder="1" applyAlignment="1">
      <alignment horizontal="right" vertical="center"/>
    </xf>
    <xf numFmtId="164" fontId="27" fillId="0" borderId="39" xfId="3" applyNumberFormat="1" applyFont="1" applyFill="1" applyBorder="1" applyAlignment="1">
      <alignment horizontal="center" vertical="center"/>
    </xf>
    <xf numFmtId="165" fontId="23" fillId="0" borderId="1" xfId="3" applyNumberFormat="1" applyFont="1" applyFill="1" applyBorder="1" applyAlignment="1">
      <alignment horizontal="center" vertical="center"/>
    </xf>
    <xf numFmtId="165" fontId="27" fillId="0" borderId="2" xfId="3" applyNumberFormat="1" applyFont="1" applyFill="1" applyBorder="1" applyAlignment="1">
      <alignment horizontal="center" vertical="center"/>
    </xf>
    <xf numFmtId="0" fontId="23" fillId="35" borderId="40" xfId="3" applyFont="1" applyFill="1" applyBorder="1" applyAlignment="1">
      <alignment horizontal="left" vertical="center"/>
    </xf>
    <xf numFmtId="164" fontId="23" fillId="35" borderId="41" xfId="3" applyNumberFormat="1" applyFont="1" applyFill="1" applyBorder="1" applyAlignment="1">
      <alignment horizontal="center" vertical="center"/>
    </xf>
    <xf numFmtId="165" fontId="23" fillId="35" borderId="42" xfId="3" applyNumberFormat="1" applyFont="1" applyFill="1" applyBorder="1" applyAlignment="1">
      <alignment horizontal="center" vertical="center"/>
    </xf>
    <xf numFmtId="165" fontId="26" fillId="35" borderId="7" xfId="3" applyNumberFormat="1" applyFont="1" applyFill="1" applyBorder="1" applyAlignment="1">
      <alignment horizontal="center" vertical="center"/>
    </xf>
    <xf numFmtId="165" fontId="23" fillId="35" borderId="6" xfId="3" applyNumberFormat="1" applyFont="1" applyFill="1" applyBorder="1" applyAlignment="1">
      <alignment horizontal="center" vertical="center"/>
    </xf>
    <xf numFmtId="164" fontId="27" fillId="35" borderId="43" xfId="3" applyNumberFormat="1" applyFont="1" applyFill="1" applyBorder="1" applyAlignment="1">
      <alignment horizontal="center" vertical="center"/>
    </xf>
    <xf numFmtId="165" fontId="23" fillId="35" borderId="5" xfId="3" applyNumberFormat="1" applyFont="1" applyFill="1" applyBorder="1" applyAlignment="1">
      <alignment horizontal="center" vertical="center"/>
    </xf>
    <xf numFmtId="165" fontId="23" fillId="35" borderId="44" xfId="3" applyNumberFormat="1" applyFont="1" applyFill="1" applyBorder="1" applyAlignment="1">
      <alignment horizontal="center" vertical="center"/>
    </xf>
    <xf numFmtId="164" fontId="23" fillId="35" borderId="43" xfId="3" applyNumberFormat="1" applyFont="1" applyFill="1" applyBorder="1" applyAlignment="1">
      <alignment horizontal="center" vertical="center"/>
    </xf>
    <xf numFmtId="165" fontId="23" fillId="35" borderId="7" xfId="3" applyNumberFormat="1" applyFont="1" applyFill="1" applyBorder="1" applyAlignment="1">
      <alignment horizontal="center" vertical="center"/>
    </xf>
    <xf numFmtId="164" fontId="23" fillId="35" borderId="5" xfId="3" applyNumberFormat="1" applyFont="1" applyFill="1" applyBorder="1" applyAlignment="1">
      <alignment horizontal="center" vertical="center"/>
    </xf>
    <xf numFmtId="0" fontId="23" fillId="35" borderId="40" xfId="3" applyFont="1" applyFill="1" applyBorder="1" applyAlignment="1">
      <alignment horizontal="right" vertical="center"/>
    </xf>
    <xf numFmtId="0" fontId="23" fillId="0" borderId="46" xfId="3" applyFont="1" applyFill="1" applyBorder="1" applyAlignment="1">
      <alignment horizontal="center" vertical="center" wrapText="1"/>
    </xf>
    <xf numFmtId="0" fontId="23" fillId="0" borderId="47" xfId="3" applyFont="1" applyFill="1" applyBorder="1" applyAlignment="1">
      <alignment horizontal="center" vertical="center" wrapText="1"/>
    </xf>
    <xf numFmtId="0" fontId="23" fillId="0" borderId="48" xfId="3" applyFont="1" applyFill="1" applyBorder="1" applyAlignment="1">
      <alignment horizontal="center" vertical="center"/>
    </xf>
    <xf numFmtId="0" fontId="23" fillId="0" borderId="49" xfId="3" applyFont="1" applyFill="1" applyBorder="1" applyAlignment="1">
      <alignment horizontal="center" vertical="center" wrapText="1"/>
    </xf>
    <xf numFmtId="0" fontId="23" fillId="0" borderId="50" xfId="3" applyFont="1" applyFill="1" applyBorder="1" applyAlignment="1">
      <alignment horizontal="center" vertical="center"/>
    </xf>
    <xf numFmtId="0" fontId="23" fillId="0" borderId="50" xfId="3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vertical="center"/>
    </xf>
    <xf numFmtId="0" fontId="23" fillId="0" borderId="0" xfId="38" applyFont="1" applyFill="1" applyBorder="1" applyAlignment="1">
      <alignment horizontal="left" vertical="center"/>
    </xf>
    <xf numFmtId="165" fontId="23" fillId="0" borderId="0" xfId="38" applyNumberFormat="1" applyFont="1" applyFill="1" applyBorder="1" applyAlignment="1">
      <alignment vertical="center"/>
    </xf>
    <xf numFmtId="165" fontId="23" fillId="0" borderId="0" xfId="38" applyNumberFormat="1" applyFont="1" applyFill="1" applyBorder="1" applyAlignment="1">
      <alignment vertical="center" wrapText="1"/>
    </xf>
    <xf numFmtId="165" fontId="23" fillId="35" borderId="35" xfId="38" applyNumberFormat="1" applyFont="1" applyFill="1" applyBorder="1" applyAlignment="1">
      <alignment vertical="center"/>
    </xf>
    <xf numFmtId="165" fontId="23" fillId="35" borderId="18" xfId="38" applyNumberFormat="1" applyFont="1" applyFill="1" applyBorder="1" applyAlignment="1">
      <alignment vertical="center"/>
    </xf>
    <xf numFmtId="0" fontId="23" fillId="35" borderId="31" xfId="38" applyFont="1" applyFill="1" applyBorder="1" applyAlignment="1">
      <alignment horizontal="left" vertical="center"/>
    </xf>
    <xf numFmtId="0" fontId="23" fillId="34" borderId="39" xfId="38" applyFont="1" applyFill="1" applyBorder="1" applyAlignment="1">
      <alignment vertical="center"/>
    </xf>
    <xf numFmtId="0" fontId="23" fillId="0" borderId="2" xfId="38" applyFont="1" applyFill="1" applyBorder="1" applyAlignment="1">
      <alignment vertical="center"/>
    </xf>
    <xf numFmtId="0" fontId="23" fillId="0" borderId="16" xfId="38" applyFont="1" applyFill="1" applyBorder="1" applyAlignment="1">
      <alignment horizontal="left" vertical="center"/>
    </xf>
    <xf numFmtId="165" fontId="35" fillId="34" borderId="39" xfId="38" applyNumberFormat="1" applyFont="1" applyFill="1" applyBorder="1" applyAlignment="1">
      <alignment horizontal="right" vertical="center"/>
    </xf>
    <xf numFmtId="165" fontId="35" fillId="0" borderId="2" xfId="38" applyNumberFormat="1" applyFont="1" applyFill="1" applyBorder="1" applyAlignment="1">
      <alignment horizontal="right" vertical="center"/>
    </xf>
    <xf numFmtId="0" fontId="35" fillId="0" borderId="16" xfId="38" applyFont="1" applyFill="1" applyBorder="1" applyAlignment="1">
      <alignment horizontal="right" vertical="center"/>
    </xf>
    <xf numFmtId="165" fontId="35" fillId="35" borderId="39" xfId="38" applyNumberFormat="1" applyFont="1" applyFill="1" applyBorder="1" applyAlignment="1">
      <alignment horizontal="right" vertical="center"/>
    </xf>
    <xf numFmtId="165" fontId="35" fillId="35" borderId="2" xfId="38" applyNumberFormat="1" applyFont="1" applyFill="1" applyBorder="1" applyAlignment="1">
      <alignment horizontal="right" vertical="center"/>
    </xf>
    <xf numFmtId="0" fontId="35" fillId="35" borderId="16" xfId="38" applyFont="1" applyFill="1" applyBorder="1" applyAlignment="1">
      <alignment horizontal="right" vertical="center"/>
    </xf>
    <xf numFmtId="165" fontId="35" fillId="35" borderId="51" xfId="38" applyNumberFormat="1" applyFont="1" applyFill="1" applyBorder="1" applyAlignment="1">
      <alignment horizontal="right" vertical="center"/>
    </xf>
    <xf numFmtId="165" fontId="35" fillId="35" borderId="52" xfId="38" applyNumberFormat="1" applyFont="1" applyFill="1" applyBorder="1" applyAlignment="1">
      <alignment horizontal="right" vertical="center"/>
    </xf>
    <xf numFmtId="0" fontId="35" fillId="35" borderId="57" xfId="38" applyFont="1" applyFill="1" applyBorder="1" applyAlignment="1">
      <alignment horizontal="right" vertical="center" wrapText="1"/>
    </xf>
    <xf numFmtId="0" fontId="23" fillId="34" borderId="58" xfId="38" applyFont="1" applyFill="1" applyBorder="1" applyAlignment="1">
      <alignment vertical="center"/>
    </xf>
    <xf numFmtId="0" fontId="23" fillId="0" borderId="8" xfId="38" applyFont="1" applyFill="1" applyBorder="1" applyAlignment="1">
      <alignment vertical="center"/>
    </xf>
    <xf numFmtId="0" fontId="23" fillId="0" borderId="59" xfId="38" applyFont="1" applyFill="1" applyBorder="1" applyAlignment="1">
      <alignment horizontal="left" vertical="center"/>
    </xf>
    <xf numFmtId="165" fontId="29" fillId="34" borderId="43" xfId="38" applyNumberFormat="1" applyFont="1" applyFill="1" applyBorder="1" applyAlignment="1">
      <alignment vertical="center"/>
    </xf>
    <xf numFmtId="0" fontId="23" fillId="0" borderId="7" xfId="38" applyFont="1" applyFill="1" applyBorder="1" applyAlignment="1">
      <alignment vertical="center"/>
    </xf>
    <xf numFmtId="0" fontId="23" fillId="0" borderId="44" xfId="38" applyFont="1" applyFill="1" applyBorder="1" applyAlignment="1">
      <alignment horizontal="left" vertical="center" wrapText="1"/>
    </xf>
    <xf numFmtId="165" fontId="23" fillId="35" borderId="39" xfId="38" applyNumberFormat="1" applyFont="1" applyFill="1" applyBorder="1" applyAlignment="1">
      <alignment vertical="center"/>
    </xf>
    <xf numFmtId="165" fontId="23" fillId="35" borderId="2" xfId="38" applyNumberFormat="1" applyFont="1" applyFill="1" applyBorder="1" applyAlignment="1">
      <alignment vertical="center"/>
    </xf>
    <xf numFmtId="0" fontId="23" fillId="35" borderId="16" xfId="38" applyFont="1" applyFill="1" applyBorder="1" applyAlignment="1">
      <alignment vertical="center" wrapText="1"/>
    </xf>
    <xf numFmtId="0" fontId="23" fillId="0" borderId="0" xfId="38" applyFont="1" applyFill="1" applyBorder="1" applyAlignment="1">
      <alignment horizontal="center" vertical="center" wrapText="1"/>
    </xf>
    <xf numFmtId="0" fontId="23" fillId="34" borderId="51" xfId="38" applyFont="1" applyFill="1" applyBorder="1" applyAlignment="1">
      <alignment horizontal="center" vertical="center" wrapText="1"/>
    </xf>
    <xf numFmtId="0" fontId="23" fillId="0" borderId="52" xfId="38" applyFont="1" applyFill="1" applyBorder="1" applyAlignment="1">
      <alignment horizontal="center" vertical="center" wrapText="1"/>
    </xf>
    <xf numFmtId="0" fontId="26" fillId="0" borderId="57" xfId="38" applyFont="1" applyFill="1" applyBorder="1" applyAlignment="1">
      <alignment horizontal="center" vertical="center" wrapText="1"/>
    </xf>
    <xf numFmtId="0" fontId="23" fillId="0" borderId="0" xfId="38" applyFont="1" applyFill="1" applyBorder="1"/>
    <xf numFmtId="4" fontId="23" fillId="0" borderId="0" xfId="38" applyNumberFormat="1" applyFont="1" applyFill="1" applyBorder="1"/>
    <xf numFmtId="0" fontId="23" fillId="0" borderId="16" xfId="38" applyFont="1" applyFill="1" applyBorder="1"/>
    <xf numFmtId="0" fontId="23" fillId="0" borderId="16" xfId="38" applyFont="1" applyFill="1" applyBorder="1" applyAlignment="1">
      <alignment horizontal="left" vertical="center" wrapText="1"/>
    </xf>
    <xf numFmtId="1" fontId="23" fillId="0" borderId="0" xfId="38" applyNumberFormat="1" applyFont="1" applyFill="1" applyBorder="1" applyAlignment="1">
      <alignment horizontal="center" vertical="center"/>
    </xf>
    <xf numFmtId="0" fontId="22" fillId="0" borderId="0" xfId="38" applyFont="1" applyFill="1" applyBorder="1"/>
    <xf numFmtId="3" fontId="23" fillId="0" borderId="0" xfId="38" applyNumberFormat="1" applyFont="1" applyFill="1" applyBorder="1" applyAlignment="1">
      <alignment vertical="center"/>
    </xf>
    <xf numFmtId="165" fontId="23" fillId="0" borderId="35" xfId="38" applyNumberFormat="1" applyFont="1" applyFill="1" applyBorder="1" applyAlignment="1">
      <alignment horizontal="center" vertical="center"/>
    </xf>
    <xf numFmtId="3" fontId="23" fillId="0" borderId="18" xfId="38" applyNumberFormat="1" applyFont="1" applyFill="1" applyBorder="1" applyAlignment="1">
      <alignment horizontal="center" vertical="center"/>
    </xf>
    <xf numFmtId="49" fontId="23" fillId="0" borderId="31" xfId="38" applyNumberFormat="1" applyFont="1" applyFill="1" applyBorder="1" applyAlignment="1">
      <alignment horizontal="left" vertical="center"/>
    </xf>
    <xf numFmtId="164" fontId="23" fillId="0" borderId="0" xfId="38" applyNumberFormat="1" applyFont="1" applyFill="1" applyBorder="1" applyAlignment="1">
      <alignment horizontal="center" vertical="center"/>
    </xf>
    <xf numFmtId="165" fontId="23" fillId="0" borderId="39" xfId="38" applyNumberFormat="1" applyFont="1" applyFill="1" applyBorder="1" applyAlignment="1">
      <alignment horizontal="center" vertical="center"/>
    </xf>
    <xf numFmtId="3" fontId="23" fillId="0" borderId="2" xfId="38" applyNumberFormat="1" applyFont="1" applyFill="1" applyBorder="1" applyAlignment="1">
      <alignment horizontal="center" vertical="center"/>
    </xf>
    <xf numFmtId="49" fontId="23" fillId="0" borderId="16" xfId="38" applyNumberFormat="1" applyFont="1" applyFill="1" applyBorder="1" applyAlignment="1">
      <alignment horizontal="left" vertical="center"/>
    </xf>
    <xf numFmtId="3" fontId="23" fillId="0" borderId="51" xfId="38" applyNumberFormat="1" applyFont="1" applyFill="1" applyBorder="1" applyAlignment="1">
      <alignment horizontal="center" vertical="center" wrapText="1"/>
    </xf>
    <xf numFmtId="1" fontId="23" fillId="0" borderId="52" xfId="38" applyNumberFormat="1" applyFont="1" applyFill="1" applyBorder="1" applyAlignment="1">
      <alignment horizontal="center" vertical="center" wrapText="1"/>
    </xf>
    <xf numFmtId="0" fontId="23" fillId="0" borderId="57" xfId="38" applyFont="1" applyFill="1" applyBorder="1" applyAlignment="1">
      <alignment horizontal="center" vertical="center" wrapText="1"/>
    </xf>
    <xf numFmtId="0" fontId="23" fillId="0" borderId="0" xfId="38" applyFont="1"/>
    <xf numFmtId="4" fontId="23" fillId="0" borderId="0" xfId="38" applyNumberFormat="1" applyFont="1"/>
    <xf numFmtId="4" fontId="36" fillId="0" borderId="0" xfId="38" applyNumberFormat="1" applyFont="1"/>
    <xf numFmtId="0" fontId="23" fillId="0" borderId="0" xfId="38" applyFont="1" applyFill="1" applyBorder="1" applyAlignment="1">
      <alignment horizontal="center" wrapText="1"/>
    </xf>
    <xf numFmtId="0" fontId="23" fillId="0" borderId="0" xfId="38" applyFont="1" applyFill="1" applyBorder="1" applyAlignment="1">
      <alignment horizontal="left" wrapText="1"/>
    </xf>
    <xf numFmtId="0" fontId="23" fillId="0" borderId="0" xfId="38" applyFont="1" applyFill="1" applyBorder="1" applyAlignment="1"/>
    <xf numFmtId="166" fontId="23" fillId="0" borderId="0" xfId="38" applyNumberFormat="1" applyFont="1" applyFill="1" applyBorder="1" applyAlignment="1"/>
    <xf numFmtId="0" fontId="23" fillId="0" borderId="0" xfId="38" applyFont="1" applyFill="1" applyBorder="1" applyAlignment="1">
      <alignment horizontal="center"/>
    </xf>
    <xf numFmtId="4" fontId="23" fillId="0" borderId="0" xfId="38" applyNumberFormat="1" applyFont="1" applyFill="1" applyBorder="1" applyAlignment="1"/>
    <xf numFmtId="3" fontId="23" fillId="0" borderId="0" xfId="38" applyNumberFormat="1" applyFont="1" applyFill="1" applyBorder="1" applyAlignment="1"/>
    <xf numFmtId="166" fontId="23" fillId="0" borderId="0" xfId="53" applyNumberFormat="1" applyFont="1" applyFill="1" applyBorder="1" applyAlignment="1">
      <alignment horizontal="center" vertical="center" wrapText="1"/>
    </xf>
    <xf numFmtId="49" fontId="23" fillId="0" borderId="0" xfId="38" applyNumberFormat="1" applyFont="1" applyFill="1" applyBorder="1" applyAlignment="1">
      <alignment horizontal="center" vertical="center" wrapText="1"/>
    </xf>
    <xf numFmtId="0" fontId="2" fillId="0" borderId="0" xfId="54" applyFont="1" applyFill="1" applyBorder="1"/>
    <xf numFmtId="167" fontId="37" fillId="0" borderId="0" xfId="54" applyNumberFormat="1" applyFont="1" applyFill="1" applyBorder="1"/>
    <xf numFmtId="0" fontId="37" fillId="0" borderId="0" xfId="54" applyFont="1" applyFill="1" applyBorder="1"/>
    <xf numFmtId="164" fontId="23" fillId="0" borderId="0" xfId="38" applyNumberFormat="1" applyFont="1" applyFill="1" applyBorder="1"/>
    <xf numFmtId="49" fontId="23" fillId="0" borderId="0" xfId="54" applyNumberFormat="1" applyFont="1" applyFill="1" applyBorder="1"/>
    <xf numFmtId="0" fontId="23" fillId="0" borderId="0" xfId="54" applyFont="1" applyFill="1" applyBorder="1"/>
    <xf numFmtId="0" fontId="23" fillId="0" borderId="0" xfId="54" applyFont="1" applyFill="1" applyBorder="1" applyAlignment="1"/>
    <xf numFmtId="49" fontId="23" fillId="0" borderId="0" xfId="54" applyNumberFormat="1" applyFont="1" applyFill="1" applyBorder="1" applyAlignment="1">
      <alignment horizontal="right"/>
    </xf>
    <xf numFmtId="4" fontId="23" fillId="0" borderId="0" xfId="54" applyNumberFormat="1" applyFont="1" applyFill="1" applyBorder="1"/>
    <xf numFmtId="169" fontId="23" fillId="0" borderId="0" xfId="54" applyNumberFormat="1" applyFont="1" applyFill="1" applyBorder="1"/>
    <xf numFmtId="166" fontId="23" fillId="0" borderId="0" xfId="38" applyNumberFormat="1" applyFont="1" applyFill="1" applyBorder="1"/>
    <xf numFmtId="166" fontId="23" fillId="36" borderId="0" xfId="38" applyNumberFormat="1" applyFont="1" applyFill="1" applyBorder="1"/>
    <xf numFmtId="170" fontId="23" fillId="36" borderId="35" xfId="38" applyNumberFormat="1" applyFont="1" applyFill="1" applyBorder="1" applyAlignment="1"/>
    <xf numFmtId="170" fontId="23" fillId="36" borderId="18" xfId="38" applyNumberFormat="1" applyFont="1" applyFill="1" applyBorder="1" applyAlignment="1"/>
    <xf numFmtId="166" fontId="23" fillId="36" borderId="18" xfId="38" applyNumberFormat="1" applyFont="1" applyFill="1" applyBorder="1" applyAlignment="1"/>
    <xf numFmtId="0" fontId="23" fillId="36" borderId="60" xfId="54" applyFont="1" applyFill="1" applyBorder="1" applyAlignment="1"/>
    <xf numFmtId="0" fontId="23" fillId="0" borderId="0" xfId="54" applyNumberFormat="1" applyFont="1" applyFill="1" applyBorder="1" applyAlignment="1">
      <alignment horizontal="right"/>
    </xf>
    <xf numFmtId="170" fontId="23" fillId="0" borderId="39" xfId="54" applyNumberFormat="1" applyFont="1" applyFill="1" applyBorder="1"/>
    <xf numFmtId="170" fontId="23" fillId="0" borderId="2" xfId="54" applyNumberFormat="1" applyFont="1" applyFill="1" applyBorder="1"/>
    <xf numFmtId="166" fontId="23" fillId="0" borderId="2" xfId="54" applyNumberFormat="1" applyFont="1" applyFill="1" applyBorder="1"/>
    <xf numFmtId="169" fontId="23" fillId="0" borderId="2" xfId="54" applyNumberFormat="1" applyFont="1" applyFill="1" applyBorder="1"/>
    <xf numFmtId="166" fontId="23" fillId="0" borderId="2" xfId="38" applyNumberFormat="1" applyFont="1" applyFill="1" applyBorder="1"/>
    <xf numFmtId="0" fontId="23" fillId="0" borderId="2" xfId="54" applyNumberFormat="1" applyFont="1" applyFill="1" applyBorder="1" applyAlignment="1">
      <alignment horizontal="left"/>
    </xf>
    <xf numFmtId="0" fontId="23" fillId="36" borderId="39" xfId="54" applyFont="1" applyFill="1" applyBorder="1" applyAlignment="1">
      <alignment horizontal="center"/>
    </xf>
    <xf numFmtId="0" fontId="23" fillId="36" borderId="2" xfId="54" applyFont="1" applyFill="1" applyBorder="1" applyAlignment="1">
      <alignment horizontal="center"/>
    </xf>
    <xf numFmtId="166" fontId="23" fillId="36" borderId="2" xfId="53" applyNumberFormat="1" applyFont="1" applyFill="1" applyBorder="1" applyAlignment="1">
      <alignment horizontal="center" vertical="center" wrapText="1"/>
    </xf>
    <xf numFmtId="0" fontId="23" fillId="0" borderId="52" xfId="54" applyNumberFormat="1" applyFont="1" applyFill="1" applyBorder="1" applyAlignment="1">
      <alignment horizontal="left"/>
    </xf>
    <xf numFmtId="171" fontId="23" fillId="0" borderId="0" xfId="38" applyNumberFormat="1" applyFont="1" applyFill="1" applyBorder="1"/>
    <xf numFmtId="0" fontId="23" fillId="0" borderId="0" xfId="38" quotePrefix="1" applyFont="1" applyFill="1" applyBorder="1"/>
    <xf numFmtId="172" fontId="23" fillId="0" borderId="0" xfId="38" applyNumberFormat="1" applyFont="1" applyFill="1" applyBorder="1"/>
    <xf numFmtId="49" fontId="23" fillId="0" borderId="0" xfId="38" applyNumberFormat="1" applyFont="1" applyFill="1" applyBorder="1" applyAlignment="1">
      <alignment horizontal="left"/>
    </xf>
    <xf numFmtId="0" fontId="23" fillId="0" borderId="0" xfId="38" applyFont="1" applyFill="1" applyBorder="1" applyAlignment="1">
      <alignment horizontal="center" vertical="center"/>
    </xf>
    <xf numFmtId="170" fontId="22" fillId="0" borderId="0" xfId="38" applyNumberFormat="1" applyFont="1" applyFill="1" applyBorder="1"/>
    <xf numFmtId="172" fontId="22" fillId="0" borderId="0" xfId="38" applyNumberFormat="1" applyFont="1" applyFill="1" applyBorder="1"/>
    <xf numFmtId="170" fontId="22" fillId="0" borderId="0" xfId="38" applyNumberFormat="1" applyFont="1" applyFill="1" applyBorder="1" applyAlignment="1">
      <alignment horizontal="right"/>
    </xf>
    <xf numFmtId="49" fontId="22" fillId="0" borderId="0" xfId="38" applyNumberFormat="1" applyFont="1" applyFill="1" applyBorder="1" applyAlignment="1">
      <alignment horizontal="left"/>
    </xf>
    <xf numFmtId="0" fontId="38" fillId="0" borderId="0" xfId="38" applyFont="1" applyFill="1" applyBorder="1"/>
    <xf numFmtId="170" fontId="22" fillId="0" borderId="35" xfId="38" applyNumberFormat="1" applyFont="1" applyFill="1" applyBorder="1"/>
    <xf numFmtId="172" fontId="22" fillId="0" borderId="18" xfId="38" applyNumberFormat="1" applyFont="1" applyFill="1" applyBorder="1"/>
    <xf numFmtId="3" fontId="22" fillId="0" borderId="18" xfId="38" applyNumberFormat="1" applyFont="1" applyFill="1" applyBorder="1"/>
    <xf numFmtId="49" fontId="22" fillId="0" borderId="31" xfId="38" applyNumberFormat="1" applyFont="1" applyFill="1" applyBorder="1" applyAlignment="1">
      <alignment horizontal="left"/>
    </xf>
    <xf numFmtId="170" fontId="22" fillId="0" borderId="39" xfId="38" applyNumberFormat="1" applyFont="1" applyFill="1" applyBorder="1"/>
    <xf numFmtId="172" fontId="22" fillId="0" borderId="2" xfId="38" applyNumberFormat="1" applyFont="1" applyFill="1" applyBorder="1"/>
    <xf numFmtId="170" fontId="22" fillId="0" borderId="2" xfId="38" applyNumberFormat="1" applyFont="1" applyFill="1" applyBorder="1" applyAlignment="1">
      <alignment horizontal="right"/>
    </xf>
    <xf numFmtId="0" fontId="23" fillId="0" borderId="16" xfId="54" applyNumberFormat="1" applyFont="1" applyFill="1" applyBorder="1" applyAlignment="1">
      <alignment horizontal="left"/>
    </xf>
    <xf numFmtId="0" fontId="22" fillId="36" borderId="51" xfId="38" applyFont="1" applyFill="1" applyBorder="1" applyAlignment="1">
      <alignment horizontal="center" vertical="center" wrapText="1"/>
    </xf>
    <xf numFmtId="0" fontId="22" fillId="36" borderId="52" xfId="38" applyFont="1" applyFill="1" applyBorder="1" applyAlignment="1">
      <alignment horizontal="center" vertical="center" wrapText="1"/>
    </xf>
    <xf numFmtId="0" fontId="22" fillId="36" borderId="57" xfId="38" applyFont="1" applyFill="1" applyBorder="1"/>
    <xf numFmtId="0" fontId="23" fillId="0" borderId="0" xfId="40" applyFont="1" applyFill="1" applyBorder="1"/>
    <xf numFmtId="176" fontId="23" fillId="0" borderId="0" xfId="40" applyNumberFormat="1" applyFont="1" applyFill="1" applyBorder="1"/>
    <xf numFmtId="176" fontId="40" fillId="0" borderId="0" xfId="40" applyNumberFormat="1" applyFont="1" applyFill="1" applyBorder="1"/>
    <xf numFmtId="177" fontId="23" fillId="0" borderId="0" xfId="40" applyNumberFormat="1" applyFont="1" applyFill="1" applyBorder="1"/>
    <xf numFmtId="49" fontId="23" fillId="0" borderId="0" xfId="40" applyNumberFormat="1" applyFont="1" applyFill="1" applyBorder="1" applyAlignment="1">
      <alignment horizontal="left"/>
    </xf>
    <xf numFmtId="0" fontId="23" fillId="0" borderId="0" xfId="54" applyNumberFormat="1" applyFont="1" applyFill="1" applyBorder="1" applyAlignment="1">
      <alignment horizontal="left"/>
    </xf>
    <xf numFmtId="0" fontId="27" fillId="0" borderId="0" xfId="40" applyFont="1" applyFill="1" applyBorder="1" applyAlignment="1">
      <alignment horizontal="center" vertical="center" wrapText="1"/>
    </xf>
    <xf numFmtId="176" fontId="27" fillId="0" borderId="0" xfId="40" applyNumberFormat="1" applyFont="1" applyFill="1" applyBorder="1" applyAlignment="1">
      <alignment horizontal="center" wrapText="1"/>
    </xf>
    <xf numFmtId="0" fontId="27" fillId="0" borderId="0" xfId="40" applyFont="1" applyFill="1" applyBorder="1" applyAlignment="1">
      <alignment horizontal="center" wrapText="1"/>
    </xf>
    <xf numFmtId="0" fontId="27" fillId="0" borderId="0" xfId="40" applyFont="1" applyFill="1" applyBorder="1" applyAlignment="1">
      <alignment horizontal="left" wrapText="1"/>
    </xf>
    <xf numFmtId="0" fontId="27" fillId="0" borderId="0" xfId="38" applyFont="1" applyFill="1" applyBorder="1" applyAlignment="1">
      <alignment horizontal="left" wrapText="1"/>
    </xf>
    <xf numFmtId="176" fontId="27" fillId="0" borderId="0" xfId="40" applyNumberFormat="1" applyFont="1" applyFill="1" applyBorder="1" applyAlignment="1">
      <alignment horizontal="left" wrapText="1"/>
    </xf>
    <xf numFmtId="176" fontId="27" fillId="0" borderId="0" xfId="40" applyNumberFormat="1" applyFont="1" applyFill="1" applyBorder="1" applyAlignment="1">
      <alignment horizontal="center" vertical="center" wrapText="1"/>
    </xf>
    <xf numFmtId="176" fontId="27" fillId="0" borderId="0" xfId="40" applyNumberFormat="1" applyFont="1" applyFill="1" applyBorder="1" applyAlignment="1">
      <alignment horizontal="center"/>
    </xf>
    <xf numFmtId="0" fontId="27" fillId="0" borderId="0" xfId="40" applyFont="1" applyFill="1" applyBorder="1" applyAlignment="1">
      <alignment horizontal="center"/>
    </xf>
    <xf numFmtId="0" fontId="23" fillId="0" borderId="0" xfId="40" applyFont="1" applyFill="1" applyBorder="1" applyAlignment="1">
      <alignment horizontal="left"/>
    </xf>
    <xf numFmtId="167" fontId="23" fillId="0" borderId="0" xfId="40" applyNumberFormat="1" applyFont="1" applyFill="1" applyBorder="1"/>
    <xf numFmtId="0" fontId="41" fillId="0" borderId="0" xfId="40" applyFont="1" applyFill="1" applyBorder="1" applyAlignment="1">
      <alignment vertical="center"/>
    </xf>
    <xf numFmtId="174" fontId="35" fillId="0" borderId="0" xfId="38" applyNumberFormat="1" applyFont="1" applyFill="1" applyBorder="1"/>
    <xf numFmtId="0" fontId="35" fillId="0" borderId="0" xfId="38" applyFont="1" applyFill="1" applyBorder="1"/>
    <xf numFmtId="49" fontId="35" fillId="0" borderId="0" xfId="38" applyNumberFormat="1" applyFont="1" applyFill="1" applyBorder="1" applyAlignment="1">
      <alignment horizontal="left"/>
    </xf>
    <xf numFmtId="10" fontId="23" fillId="0" borderId="0" xfId="38" applyNumberFormat="1" applyFont="1" applyFill="1" applyBorder="1"/>
    <xf numFmtId="177" fontId="23" fillId="0" borderId="0" xfId="38" applyNumberFormat="1" applyFont="1" applyFill="1" applyBorder="1"/>
    <xf numFmtId="0" fontId="27" fillId="0" borderId="0" xfId="38" applyFont="1" applyFill="1" applyBorder="1" applyAlignment="1">
      <alignment horizontal="center" vertical="center" wrapText="1"/>
    </xf>
    <xf numFmtId="0" fontId="23" fillId="0" borderId="0" xfId="38" applyFont="1" applyBorder="1"/>
    <xf numFmtId="3" fontId="23" fillId="0" borderId="0" xfId="38" applyNumberFormat="1" applyFont="1" applyBorder="1"/>
    <xf numFmtId="10" fontId="23" fillId="0" borderId="0" xfId="38" applyNumberFormat="1" applyFont="1" applyBorder="1"/>
    <xf numFmtId="10" fontId="23" fillId="0" borderId="0" xfId="73" applyNumberFormat="1" applyFont="1" applyFill="1" applyBorder="1" applyAlignment="1" applyProtection="1"/>
    <xf numFmtId="0" fontId="23" fillId="0" borderId="0" xfId="38" applyFont="1" applyBorder="1" applyAlignment="1">
      <alignment wrapText="1"/>
    </xf>
    <xf numFmtId="3" fontId="23" fillId="0" borderId="0" xfId="38" applyNumberFormat="1" applyFont="1" applyFill="1" applyBorder="1" applyAlignment="1">
      <alignment vertical="center" wrapText="1"/>
    </xf>
    <xf numFmtId="0" fontId="23" fillId="0" borderId="0" xfId="38" applyFont="1" applyFill="1" applyBorder="1" applyAlignment="1">
      <alignment vertical="center" wrapText="1"/>
    </xf>
    <xf numFmtId="3" fontId="23" fillId="0" borderId="35" xfId="38" applyNumberFormat="1" applyFont="1" applyBorder="1"/>
    <xf numFmtId="3" fontId="23" fillId="0" borderId="18" xfId="38" applyNumberFormat="1" applyFont="1" applyFill="1" applyBorder="1" applyAlignment="1">
      <alignment vertical="center" wrapText="1"/>
    </xf>
    <xf numFmtId="0" fontId="23" fillId="0" borderId="31" xfId="54" applyNumberFormat="1" applyFont="1" applyFill="1" applyBorder="1" applyAlignment="1">
      <alignment horizontal="left"/>
    </xf>
    <xf numFmtId="3" fontId="23" fillId="0" borderId="39" xfId="38" applyNumberFormat="1" applyFont="1" applyBorder="1"/>
    <xf numFmtId="3" fontId="23" fillId="0" borderId="2" xfId="38" applyNumberFormat="1" applyFont="1" applyFill="1" applyBorder="1" applyAlignment="1">
      <alignment vertical="center" wrapText="1"/>
    </xf>
    <xf numFmtId="0" fontId="23" fillId="36" borderId="39" xfId="38" applyFont="1" applyFill="1" applyBorder="1"/>
    <xf numFmtId="0" fontId="23" fillId="36" borderId="2" xfId="38" applyFont="1" applyFill="1" applyBorder="1"/>
    <xf numFmtId="0" fontId="23" fillId="36" borderId="16" xfId="54" applyNumberFormat="1" applyFont="1" applyFill="1" applyBorder="1" applyAlignment="1">
      <alignment horizontal="left"/>
    </xf>
    <xf numFmtId="0" fontId="23" fillId="0" borderId="39" xfId="38" applyFont="1" applyBorder="1"/>
    <xf numFmtId="0" fontId="23" fillId="0" borderId="2" xfId="38" applyFont="1" applyBorder="1"/>
    <xf numFmtId="0" fontId="23" fillId="0" borderId="16" xfId="38" applyFont="1" applyBorder="1"/>
    <xf numFmtId="172" fontId="23" fillId="0" borderId="39" xfId="38" applyNumberFormat="1" applyFont="1" applyFill="1" applyBorder="1"/>
    <xf numFmtId="10" fontId="23" fillId="0" borderId="2" xfId="73" applyNumberFormat="1" applyFont="1" applyFill="1" applyBorder="1" applyAlignment="1" applyProtection="1"/>
    <xf numFmtId="49" fontId="26" fillId="0" borderId="16" xfId="38" applyNumberFormat="1" applyFont="1" applyFill="1" applyBorder="1" applyAlignment="1">
      <alignment horizontal="left"/>
    </xf>
    <xf numFmtId="172" fontId="23" fillId="0" borderId="0" xfId="38" applyNumberFormat="1" applyFont="1" applyBorder="1"/>
    <xf numFmtId="172" fontId="23" fillId="0" borderId="39" xfId="38" applyNumberFormat="1" applyFont="1" applyBorder="1"/>
    <xf numFmtId="177" fontId="23" fillId="0" borderId="2" xfId="73" applyNumberFormat="1" applyFont="1" applyFill="1" applyBorder="1" applyAlignment="1" applyProtection="1"/>
    <xf numFmtId="172" fontId="23" fillId="36" borderId="39" xfId="38" applyNumberFormat="1" applyFont="1" applyFill="1" applyBorder="1"/>
    <xf numFmtId="177" fontId="23" fillId="36" borderId="2" xfId="73" applyNumberFormat="1" applyFont="1" applyFill="1" applyBorder="1" applyAlignment="1" applyProtection="1"/>
    <xf numFmtId="0" fontId="23" fillId="0" borderId="0" xfId="38" applyFont="1" applyFill="1" applyBorder="1"/>
    <xf numFmtId="0" fontId="36" fillId="0" borderId="0" xfId="0" applyFont="1"/>
    <xf numFmtId="4" fontId="36" fillId="0" borderId="0" xfId="0" applyNumberFormat="1" applyFont="1"/>
    <xf numFmtId="4" fontId="36" fillId="0" borderId="4" xfId="0" applyNumberFormat="1" applyFont="1" applyBorder="1"/>
    <xf numFmtId="0" fontId="23" fillId="0" borderId="2" xfId="0" applyFont="1" applyFill="1" applyBorder="1"/>
    <xf numFmtId="0" fontId="26" fillId="0" borderId="5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0" xfId="0" applyFont="1" applyFill="1" applyBorder="1"/>
    <xf numFmtId="0" fontId="23" fillId="0" borderId="16" xfId="0" applyFont="1" applyFill="1" applyBorder="1"/>
    <xf numFmtId="3" fontId="23" fillId="0" borderId="2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4" fontId="23" fillId="0" borderId="16" xfId="0" applyNumberFormat="1" applyFont="1" applyFill="1" applyBorder="1"/>
    <xf numFmtId="0" fontId="23" fillId="0" borderId="0" xfId="0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right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right" vertical="center"/>
    </xf>
    <xf numFmtId="3" fontId="43" fillId="0" borderId="2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3" fontId="37" fillId="0" borderId="39" xfId="0" applyNumberFormat="1" applyFont="1" applyFill="1" applyBorder="1" applyAlignment="1">
      <alignment horizontal="center" vertical="center"/>
    </xf>
    <xf numFmtId="178" fontId="23" fillId="0" borderId="0" xfId="74" applyNumberFormat="1" applyFont="1" applyFill="1" applyBorder="1"/>
    <xf numFmtId="0" fontId="35" fillId="0" borderId="16" xfId="0" applyFont="1" applyFill="1" applyBorder="1" applyAlignment="1">
      <alignment horizontal="right" vertical="center" indent="2"/>
    </xf>
    <xf numFmtId="0" fontId="37" fillId="0" borderId="2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3" fillId="37" borderId="16" xfId="38" applyFont="1" applyFill="1" applyBorder="1" applyAlignment="1">
      <alignment horizontal="left" vertical="center" wrapText="1"/>
    </xf>
    <xf numFmtId="3" fontId="23" fillId="37" borderId="39" xfId="38" applyNumberFormat="1" applyFont="1" applyFill="1" applyBorder="1" applyAlignment="1">
      <alignment horizontal="center" vertical="center"/>
    </xf>
    <xf numFmtId="0" fontId="23" fillId="37" borderId="16" xfId="38" applyFont="1" applyFill="1" applyBorder="1" applyAlignment="1">
      <alignment horizontal="left" vertical="center"/>
    </xf>
    <xf numFmtId="0" fontId="26" fillId="0" borderId="31" xfId="38" applyFont="1" applyFill="1" applyBorder="1" applyAlignment="1">
      <alignment horizontal="left" vertical="center"/>
    </xf>
    <xf numFmtId="49" fontId="23" fillId="37" borderId="16" xfId="38" applyNumberFormat="1" applyFont="1" applyFill="1" applyBorder="1" applyAlignment="1">
      <alignment horizontal="left" vertical="center"/>
    </xf>
    <xf numFmtId="3" fontId="23" fillId="37" borderId="2" xfId="38" applyNumberFormat="1" applyFont="1" applyFill="1" applyBorder="1" applyAlignment="1">
      <alignment horizontal="center" vertical="center"/>
    </xf>
    <xf numFmtId="165" fontId="23" fillId="37" borderId="39" xfId="38" applyNumberFormat="1" applyFont="1" applyFill="1" applyBorder="1" applyAlignment="1">
      <alignment horizontal="center" vertical="center"/>
    </xf>
    <xf numFmtId="1" fontId="23" fillId="38" borderId="52" xfId="38" applyNumberFormat="1" applyFont="1" applyFill="1" applyBorder="1" applyAlignment="1">
      <alignment horizontal="center" vertical="center" wrapText="1"/>
    </xf>
    <xf numFmtId="3" fontId="23" fillId="38" borderId="2" xfId="38" applyNumberFormat="1" applyFont="1" applyFill="1" applyBorder="1" applyAlignment="1">
      <alignment horizontal="center" vertical="center"/>
    </xf>
    <xf numFmtId="3" fontId="23" fillId="38" borderId="18" xfId="38" applyNumberFormat="1" applyFont="1" applyFill="1" applyBorder="1" applyAlignment="1">
      <alignment horizontal="center" vertical="center"/>
    </xf>
    <xf numFmtId="3" fontId="23" fillId="38" borderId="39" xfId="38" applyNumberFormat="1" applyFont="1" applyFill="1" applyBorder="1" applyAlignment="1">
      <alignment horizontal="center" vertical="center"/>
    </xf>
    <xf numFmtId="3" fontId="26" fillId="38" borderId="35" xfId="38" applyNumberFormat="1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3" fontId="37" fillId="37" borderId="2" xfId="0" applyNumberFormat="1" applyFont="1" applyFill="1" applyBorder="1" applyAlignment="1">
      <alignment horizontal="center" vertical="center"/>
    </xf>
    <xf numFmtId="3" fontId="37" fillId="37" borderId="39" xfId="0" applyNumberFormat="1" applyFont="1" applyFill="1" applyBorder="1" applyAlignment="1">
      <alignment horizontal="center" vertical="center"/>
    </xf>
    <xf numFmtId="3" fontId="42" fillId="37" borderId="39" xfId="0" applyNumberFormat="1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vertical="center"/>
    </xf>
    <xf numFmtId="3" fontId="37" fillId="38" borderId="18" xfId="0" applyNumberFormat="1" applyFont="1" applyFill="1" applyBorder="1" applyAlignment="1">
      <alignment horizontal="center" vertical="center"/>
    </xf>
    <xf numFmtId="3" fontId="37" fillId="38" borderId="35" xfId="0" applyNumberFormat="1" applyFont="1" applyFill="1" applyBorder="1" applyAlignment="1">
      <alignment horizontal="center" vertical="center"/>
    </xf>
    <xf numFmtId="0" fontId="23" fillId="38" borderId="51" xfId="0" applyFont="1" applyFill="1" applyBorder="1" applyAlignment="1">
      <alignment horizontal="center" vertical="center" wrapText="1"/>
    </xf>
    <xf numFmtId="3" fontId="37" fillId="38" borderId="39" xfId="0" applyNumberFormat="1" applyFont="1" applyFill="1" applyBorder="1" applyAlignment="1">
      <alignment horizontal="center" vertical="center"/>
    </xf>
    <xf numFmtId="3" fontId="43" fillId="38" borderId="39" xfId="0" applyNumberFormat="1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4" fontId="23" fillId="37" borderId="16" xfId="0" applyNumberFormat="1" applyFont="1" applyFill="1" applyBorder="1" applyAlignment="1">
      <alignment horizontal="left"/>
    </xf>
    <xf numFmtId="3" fontId="23" fillId="37" borderId="2" xfId="0" applyNumberFormat="1" applyFont="1" applyFill="1" applyBorder="1" applyAlignment="1">
      <alignment horizontal="center"/>
    </xf>
    <xf numFmtId="3" fontId="23" fillId="37" borderId="39" xfId="0" applyNumberFormat="1" applyFont="1" applyFill="1" applyBorder="1" applyAlignment="1">
      <alignment horizontal="center"/>
    </xf>
    <xf numFmtId="0" fontId="27" fillId="38" borderId="51" xfId="0" applyFont="1" applyFill="1" applyBorder="1" applyAlignment="1">
      <alignment horizontal="center" vertical="center"/>
    </xf>
    <xf numFmtId="3" fontId="23" fillId="38" borderId="18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 vertical="center"/>
    </xf>
    <xf numFmtId="4" fontId="23" fillId="37" borderId="16" xfId="0" applyNumberFormat="1" applyFont="1" applyFill="1" applyBorder="1"/>
    <xf numFmtId="0" fontId="23" fillId="0" borderId="56" xfId="38" applyFont="1" applyBorder="1"/>
    <xf numFmtId="0" fontId="23" fillId="0" borderId="62" xfId="38" applyFont="1" applyBorder="1"/>
    <xf numFmtId="0" fontId="26" fillId="0" borderId="16" xfId="38" applyFont="1" applyFill="1" applyBorder="1" applyAlignment="1">
      <alignment horizontal="center" vertical="center"/>
    </xf>
    <xf numFmtId="0" fontId="26" fillId="0" borderId="2" xfId="38" applyFont="1" applyFill="1" applyBorder="1" applyAlignment="1">
      <alignment horizontal="center" vertical="center"/>
    </xf>
    <xf numFmtId="0" fontId="26" fillId="0" borderId="39" xfId="38" applyFont="1" applyFill="1" applyBorder="1" applyAlignment="1">
      <alignment horizontal="center" vertical="center" wrapText="1"/>
    </xf>
    <xf numFmtId="0" fontId="26" fillId="0" borderId="3" xfId="38" applyFont="1" applyFill="1" applyBorder="1" applyAlignment="1">
      <alignment horizontal="center" vertical="center"/>
    </xf>
    <xf numFmtId="0" fontId="26" fillId="0" borderId="1" xfId="38" applyFont="1" applyFill="1" applyBorder="1" applyAlignment="1">
      <alignment horizontal="center" vertical="center" wrapText="1"/>
    </xf>
    <xf numFmtId="0" fontId="26" fillId="0" borderId="3" xfId="38" applyFont="1" applyFill="1" applyBorder="1" applyAlignment="1">
      <alignment horizontal="center" vertical="center" wrapText="1"/>
    </xf>
    <xf numFmtId="49" fontId="23" fillId="36" borderId="62" xfId="38" applyNumberFormat="1" applyFont="1" applyFill="1" applyBorder="1" applyAlignment="1">
      <alignment horizontal="left"/>
    </xf>
    <xf numFmtId="3" fontId="23" fillId="36" borderId="16" xfId="38" applyNumberFormat="1" applyFont="1" applyFill="1" applyBorder="1"/>
    <xf numFmtId="3" fontId="23" fillId="36" borderId="2" xfId="38" applyNumberFormat="1" applyFont="1" applyFill="1" applyBorder="1"/>
    <xf numFmtId="10" fontId="23" fillId="36" borderId="39" xfId="73" applyNumberFormat="1" applyFont="1" applyFill="1" applyBorder="1" applyAlignment="1" applyProtection="1"/>
    <xf numFmtId="3" fontId="23" fillId="36" borderId="3" xfId="38" applyNumberFormat="1" applyFont="1" applyFill="1" applyBorder="1"/>
    <xf numFmtId="10" fontId="23" fillId="36" borderId="1" xfId="73" applyNumberFormat="1" applyFont="1" applyFill="1" applyBorder="1" applyAlignment="1" applyProtection="1"/>
    <xf numFmtId="4" fontId="23" fillId="36" borderId="16" xfId="38" applyNumberFormat="1" applyFont="1" applyFill="1" applyBorder="1"/>
    <xf numFmtId="4" fontId="23" fillId="36" borderId="2" xfId="38" applyNumberFormat="1" applyFont="1" applyFill="1" applyBorder="1"/>
    <xf numFmtId="49" fontId="23" fillId="0" borderId="0" xfId="38" applyNumberFormat="1" applyFont="1" applyBorder="1" applyAlignment="1">
      <alignment horizontal="left"/>
    </xf>
    <xf numFmtId="10" fontId="23" fillId="0" borderId="39" xfId="38" applyNumberFormat="1" applyFont="1" applyBorder="1"/>
    <xf numFmtId="10" fontId="23" fillId="0" borderId="1" xfId="38" applyNumberFormat="1" applyFont="1" applyBorder="1"/>
    <xf numFmtId="3" fontId="23" fillId="0" borderId="16" xfId="38" applyNumberFormat="1" applyFont="1" applyFill="1" applyBorder="1"/>
    <xf numFmtId="3" fontId="23" fillId="0" borderId="2" xfId="38" applyNumberFormat="1" applyFont="1" applyFill="1" applyBorder="1"/>
    <xf numFmtId="3" fontId="23" fillId="0" borderId="3" xfId="38" applyNumberFormat="1" applyFont="1" applyFill="1" applyBorder="1"/>
    <xf numFmtId="4" fontId="23" fillId="0" borderId="16" xfId="38" applyNumberFormat="1" applyFont="1" applyFill="1" applyBorder="1"/>
    <xf numFmtId="4" fontId="23" fillId="0" borderId="2" xfId="38" applyNumberFormat="1" applyFont="1" applyFill="1" applyBorder="1"/>
    <xf numFmtId="0" fontId="23" fillId="36" borderId="62" xfId="54" applyNumberFormat="1" applyFont="1" applyFill="1" applyBorder="1" applyAlignment="1">
      <alignment horizontal="left"/>
    </xf>
    <xf numFmtId="174" fontId="23" fillId="36" borderId="3" xfId="38" applyNumberFormat="1" applyFont="1" applyFill="1" applyBorder="1" applyAlignment="1"/>
    <xf numFmtId="174" fontId="23" fillId="36" borderId="2" xfId="38" applyNumberFormat="1" applyFont="1" applyFill="1" applyBorder="1" applyAlignment="1"/>
    <xf numFmtId="10" fontId="23" fillId="36" borderId="2" xfId="73" applyNumberFormat="1" applyFont="1" applyFill="1" applyBorder="1" applyAlignment="1" applyProtection="1"/>
    <xf numFmtId="49" fontId="23" fillId="36" borderId="1" xfId="38" applyNumberFormat="1" applyFont="1" applyFill="1" applyBorder="1" applyAlignment="1">
      <alignment horizontal="left"/>
    </xf>
    <xf numFmtId="3" fontId="23" fillId="36" borderId="39" xfId="38" applyNumberFormat="1" applyFont="1" applyFill="1" applyBorder="1"/>
    <xf numFmtId="0" fontId="23" fillId="0" borderId="3" xfId="38" applyFont="1" applyFill="1" applyBorder="1"/>
    <xf numFmtId="0" fontId="23" fillId="0" borderId="2" xfId="38" applyFont="1" applyFill="1" applyBorder="1"/>
    <xf numFmtId="49" fontId="23" fillId="0" borderId="1" xfId="38" applyNumberFormat="1" applyFont="1" applyBorder="1" applyAlignment="1">
      <alignment horizontal="left"/>
    </xf>
    <xf numFmtId="3" fontId="23" fillId="0" borderId="39" xfId="38" applyNumberFormat="1" applyFont="1" applyFill="1" applyBorder="1"/>
    <xf numFmtId="3" fontId="23" fillId="0" borderId="3" xfId="38" applyNumberFormat="1" applyFont="1" applyBorder="1"/>
    <xf numFmtId="3" fontId="23" fillId="0" borderId="36" xfId="38" applyNumberFormat="1" applyFont="1" applyFill="1" applyBorder="1"/>
    <xf numFmtId="3" fontId="23" fillId="0" borderId="18" xfId="38" applyNumberFormat="1" applyFont="1" applyFill="1" applyBorder="1"/>
    <xf numFmtId="4" fontId="23" fillId="0" borderId="31" xfId="38" applyNumberFormat="1" applyFont="1" applyFill="1" applyBorder="1"/>
    <xf numFmtId="4" fontId="23" fillId="0" borderId="18" xfId="38" applyNumberFormat="1" applyFont="1" applyFill="1" applyBorder="1"/>
    <xf numFmtId="170" fontId="23" fillId="0" borderId="36" xfId="38" applyNumberFormat="1" applyFont="1" applyFill="1" applyBorder="1" applyAlignment="1"/>
    <xf numFmtId="49" fontId="23" fillId="0" borderId="17" xfId="38" applyNumberFormat="1" applyFont="1" applyBorder="1" applyAlignment="1">
      <alignment horizontal="left"/>
    </xf>
    <xf numFmtId="3" fontId="23" fillId="0" borderId="31" xfId="38" applyNumberFormat="1" applyFont="1" applyFill="1" applyBorder="1"/>
    <xf numFmtId="3" fontId="23" fillId="0" borderId="35" xfId="38" applyNumberFormat="1" applyFont="1" applyFill="1" applyBorder="1"/>
    <xf numFmtId="3" fontId="23" fillId="0" borderId="36" xfId="38" applyNumberFormat="1" applyFont="1" applyBorder="1"/>
    <xf numFmtId="0" fontId="23" fillId="0" borderId="35" xfId="38" applyFont="1" applyBorder="1"/>
    <xf numFmtId="173" fontId="44" fillId="0" borderId="0" xfId="45" applyNumberFormat="1" applyFont="1" applyFill="1" applyBorder="1" applyAlignment="1" applyProtection="1">
      <alignment horizontal="right" vertical="center"/>
    </xf>
    <xf numFmtId="0" fontId="44" fillId="0" borderId="0" xfId="38" applyFont="1" applyFill="1" applyBorder="1"/>
    <xf numFmtId="3" fontId="44" fillId="0" borderId="0" xfId="38" applyNumberFormat="1" applyFont="1" applyFill="1" applyBorder="1"/>
    <xf numFmtId="0" fontId="26" fillId="0" borderId="0" xfId="38" applyFont="1" applyBorder="1"/>
    <xf numFmtId="175" fontId="26" fillId="0" borderId="0" xfId="38" applyNumberFormat="1" applyFont="1" applyBorder="1"/>
    <xf numFmtId="175" fontId="23" fillId="0" borderId="0" xfId="38" applyNumberFormat="1" applyFont="1" applyBorder="1"/>
    <xf numFmtId="49" fontId="23" fillId="36" borderId="0" xfId="38" applyNumberFormat="1" applyFont="1" applyFill="1" applyBorder="1" applyAlignment="1">
      <alignment horizontal="left"/>
    </xf>
    <xf numFmtId="3" fontId="23" fillId="36" borderId="0" xfId="38" applyNumberFormat="1" applyFont="1" applyFill="1" applyBorder="1"/>
    <xf numFmtId="10" fontId="23" fillId="36" borderId="0" xfId="73" applyNumberFormat="1" applyFont="1" applyFill="1" applyBorder="1" applyAlignment="1" applyProtection="1"/>
    <xf numFmtId="4" fontId="23" fillId="36" borderId="0" xfId="38" applyNumberFormat="1" applyFont="1" applyFill="1" applyBorder="1"/>
    <xf numFmtId="0" fontId="26" fillId="0" borderId="0" xfId="38" applyFont="1" applyFill="1" applyBorder="1" applyAlignment="1">
      <alignment horizontal="center" vertical="center"/>
    </xf>
    <xf numFmtId="49" fontId="23" fillId="0" borderId="62" xfId="38" applyNumberFormat="1" applyFont="1" applyBorder="1" applyAlignment="1">
      <alignment horizontal="left"/>
    </xf>
    <xf numFmtId="174" fontId="23" fillId="0" borderId="3" xfId="38" applyNumberFormat="1" applyFont="1" applyFill="1" applyBorder="1" applyAlignment="1"/>
    <xf numFmtId="174" fontId="23" fillId="0" borderId="39" xfId="38" applyNumberFormat="1" applyFont="1" applyFill="1" applyBorder="1" applyAlignment="1"/>
    <xf numFmtId="3" fontId="26" fillId="0" borderId="0" xfId="38" applyNumberFormat="1" applyFont="1" applyBorder="1"/>
    <xf numFmtId="170" fontId="23" fillId="0" borderId="3" xfId="38" applyNumberFormat="1" applyFont="1" applyFill="1" applyBorder="1" applyAlignment="1"/>
    <xf numFmtId="170" fontId="23" fillId="0" borderId="36" xfId="38" applyNumberFormat="1" applyFont="1" applyFill="1" applyBorder="1"/>
    <xf numFmtId="174" fontId="23" fillId="0" borderId="35" xfId="38" applyNumberFormat="1" applyFont="1" applyFill="1" applyBorder="1" applyAlignment="1"/>
    <xf numFmtId="3" fontId="23" fillId="0" borderId="0" xfId="38" applyNumberFormat="1" applyFont="1" applyFill="1" applyBorder="1"/>
    <xf numFmtId="174" fontId="23" fillId="0" borderId="0" xfId="38" applyNumberFormat="1" applyFont="1" applyFill="1" applyBorder="1" applyAlignment="1"/>
    <xf numFmtId="170" fontId="23" fillId="36" borderId="0" xfId="38" applyNumberFormat="1" applyFont="1" applyFill="1" applyBorder="1" applyAlignment="1"/>
    <xf numFmtId="3" fontId="28" fillId="0" borderId="0" xfId="38" applyNumberFormat="1" applyFont="1" applyBorder="1"/>
    <xf numFmtId="165" fontId="23" fillId="35" borderId="33" xfId="3" applyNumberFormat="1" applyFont="1" applyFill="1" applyBorder="1" applyAlignment="1">
      <alignment horizontal="center" vertical="center"/>
    </xf>
    <xf numFmtId="0" fontId="23" fillId="38" borderId="47" xfId="3" applyFont="1" applyFill="1" applyBorder="1" applyAlignment="1">
      <alignment horizontal="center" vertical="center"/>
    </xf>
    <xf numFmtId="165" fontId="23" fillId="38" borderId="3" xfId="3" applyNumberFormat="1" applyFont="1" applyFill="1" applyBorder="1" applyAlignment="1">
      <alignment horizontal="center" vertical="center"/>
    </xf>
    <xf numFmtId="165" fontId="23" fillId="38" borderId="2" xfId="3" applyNumberFormat="1" applyFont="1" applyFill="1" applyBorder="1" applyAlignment="1">
      <alignment horizontal="center" vertical="center"/>
    </xf>
    <xf numFmtId="0" fontId="23" fillId="0" borderId="0" xfId="38" applyFont="1" applyFill="1" applyBorder="1"/>
    <xf numFmtId="0" fontId="36" fillId="0" borderId="62" xfId="54" applyNumberFormat="1" applyFont="1" applyFill="1" applyBorder="1" applyAlignment="1">
      <alignment horizontal="left"/>
    </xf>
    <xf numFmtId="3" fontId="36" fillId="0" borderId="16" xfId="38" applyNumberFormat="1" applyFont="1" applyFill="1" applyBorder="1"/>
    <xf numFmtId="3" fontId="36" fillId="0" borderId="2" xfId="38" applyNumberFormat="1" applyFont="1" applyFill="1" applyBorder="1"/>
    <xf numFmtId="3" fontId="36" fillId="0" borderId="3" xfId="38" applyNumberFormat="1" applyFont="1" applyFill="1" applyBorder="1"/>
    <xf numFmtId="4" fontId="36" fillId="0" borderId="16" xfId="38" applyNumberFormat="1" applyFont="1" applyFill="1" applyBorder="1"/>
    <xf numFmtId="4" fontId="36" fillId="0" borderId="2" xfId="38" applyNumberFormat="1" applyFont="1" applyFill="1" applyBorder="1"/>
    <xf numFmtId="10" fontId="36" fillId="0" borderId="39" xfId="73" applyNumberFormat="1" applyFont="1" applyFill="1" applyBorder="1" applyAlignment="1" applyProtection="1"/>
    <xf numFmtId="10" fontId="36" fillId="0" borderId="1" xfId="73" applyNumberFormat="1" applyFont="1" applyFill="1" applyBorder="1" applyAlignment="1" applyProtection="1"/>
    <xf numFmtId="0" fontId="36" fillId="0" borderId="60" xfId="54" applyNumberFormat="1" applyFont="1" applyFill="1" applyBorder="1" applyAlignment="1">
      <alignment horizontal="left"/>
    </xf>
    <xf numFmtId="3" fontId="36" fillId="0" borderId="31" xfId="38" applyNumberFormat="1" applyFont="1" applyFill="1" applyBorder="1"/>
    <xf numFmtId="3" fontId="36" fillId="0" borderId="18" xfId="38" applyNumberFormat="1" applyFont="1" applyFill="1" applyBorder="1"/>
    <xf numFmtId="10" fontId="36" fillId="0" borderId="35" xfId="73" applyNumberFormat="1" applyFont="1" applyFill="1" applyBorder="1" applyAlignment="1" applyProtection="1"/>
    <xf numFmtId="10" fontId="36" fillId="0" borderId="17" xfId="73" applyNumberFormat="1" applyFont="1" applyFill="1" applyBorder="1" applyAlignment="1" applyProtection="1"/>
    <xf numFmtId="10" fontId="36" fillId="0" borderId="0" xfId="73" applyNumberFormat="1" applyFont="1" applyFill="1" applyBorder="1" applyAlignment="1" applyProtection="1"/>
    <xf numFmtId="0" fontId="36" fillId="0" borderId="0" xfId="54" applyNumberFormat="1" applyFont="1" applyFill="1" applyBorder="1" applyAlignment="1">
      <alignment horizontal="left"/>
    </xf>
    <xf numFmtId="177" fontId="23" fillId="0" borderId="0" xfId="38" applyNumberFormat="1" applyFont="1" applyBorder="1"/>
    <xf numFmtId="0" fontId="23" fillId="0" borderId="0" xfId="38" applyFont="1" applyFill="1" applyBorder="1"/>
    <xf numFmtId="0" fontId="23" fillId="0" borderId="2" xfId="38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vertical="center"/>
    </xf>
    <xf numFmtId="0" fontId="23" fillId="0" borderId="6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4" fontId="28" fillId="0" borderId="37" xfId="0" applyNumberFormat="1" applyFont="1" applyFill="1" applyBorder="1" applyAlignment="1">
      <alignment horizontal="center" vertical="center"/>
    </xf>
    <xf numFmtId="3" fontId="23" fillId="0" borderId="39" xfId="38" applyNumberFormat="1" applyFont="1" applyFill="1" applyBorder="1" applyAlignment="1">
      <alignment horizontal="center" vertical="center"/>
    </xf>
    <xf numFmtId="0" fontId="23" fillId="37" borderId="44" xfId="38" applyFont="1" applyFill="1" applyBorder="1" applyAlignment="1">
      <alignment horizontal="left" vertical="center" wrapText="1"/>
    </xf>
    <xf numFmtId="3" fontId="23" fillId="37" borderId="43" xfId="38" applyNumberFormat="1" applyFont="1" applyFill="1" applyBorder="1" applyAlignment="1">
      <alignment horizontal="center" vertical="center"/>
    </xf>
    <xf numFmtId="0" fontId="23" fillId="0" borderId="0" xfId="38" applyFont="1" applyFill="1" applyBorder="1" applyAlignment="1">
      <alignment wrapText="1"/>
    </xf>
    <xf numFmtId="0" fontId="23" fillId="0" borderId="11" xfId="38" applyFont="1" applyFill="1" applyBorder="1"/>
    <xf numFmtId="0" fontId="23" fillId="0" borderId="16" xfId="38" applyFont="1" applyFill="1" applyBorder="1" applyAlignment="1">
      <alignment wrapText="1"/>
    </xf>
    <xf numFmtId="0" fontId="23" fillId="37" borderId="16" xfId="38" applyFont="1" applyFill="1" applyBorder="1" applyAlignment="1">
      <alignment vertical="center"/>
    </xf>
    <xf numFmtId="0" fontId="23" fillId="0" borderId="16" xfId="38" applyFont="1" applyFill="1" applyBorder="1" applyAlignment="1">
      <alignment vertical="center"/>
    </xf>
    <xf numFmtId="0" fontId="26" fillId="0" borderId="31" xfId="38" applyFont="1" applyFill="1" applyBorder="1" applyAlignment="1">
      <alignment vertical="center"/>
    </xf>
    <xf numFmtId="3" fontId="26" fillId="0" borderId="18" xfId="38" applyNumberFormat="1" applyFont="1" applyFill="1" applyBorder="1" applyAlignment="1">
      <alignment horizontal="center" vertical="center"/>
    </xf>
    <xf numFmtId="3" fontId="26" fillId="0" borderId="35" xfId="38" applyNumberFormat="1" applyFont="1" applyFill="1" applyBorder="1" applyAlignment="1">
      <alignment horizontal="center" vertical="center"/>
    </xf>
    <xf numFmtId="164" fontId="23" fillId="35" borderId="32" xfId="3" applyNumberFormat="1" applyFont="1" applyFill="1" applyBorder="1" applyAlignment="1">
      <alignment horizontal="center" vertical="center"/>
    </xf>
    <xf numFmtId="164" fontId="23" fillId="35" borderId="38" xfId="3" applyNumberFormat="1" applyFont="1" applyFill="1" applyBorder="1" applyAlignment="1">
      <alignment horizontal="center" vertical="center"/>
    </xf>
    <xf numFmtId="165" fontId="23" fillId="38" borderId="7" xfId="3" applyNumberFormat="1" applyFont="1" applyFill="1" applyBorder="1" applyAlignment="1">
      <alignment horizontal="center" vertical="center"/>
    </xf>
    <xf numFmtId="165" fontId="23" fillId="38" borderId="31" xfId="3" applyNumberFormat="1" applyFont="1" applyFill="1" applyBorder="1" applyAlignment="1">
      <alignment horizontal="center" vertical="center"/>
    </xf>
    <xf numFmtId="0" fontId="23" fillId="38" borderId="47" xfId="3" applyFont="1" applyFill="1" applyBorder="1" applyAlignment="1">
      <alignment horizontal="center" vertical="center" wrapText="1"/>
    </xf>
    <xf numFmtId="0" fontId="23" fillId="37" borderId="44" xfId="0" applyFont="1" applyFill="1" applyBorder="1" applyAlignment="1">
      <alignment vertical="center"/>
    </xf>
    <xf numFmtId="0" fontId="23" fillId="37" borderId="5" xfId="0" applyFont="1" applyFill="1" applyBorder="1" applyAlignment="1">
      <alignment horizontal="center" vertical="center"/>
    </xf>
    <xf numFmtId="3" fontId="23" fillId="37" borderId="44" xfId="0" applyNumberFormat="1" applyFont="1" applyFill="1" applyBorder="1" applyAlignment="1">
      <alignment horizontal="center" vertical="center"/>
    </xf>
    <xf numFmtId="3" fontId="23" fillId="37" borderId="7" xfId="0" applyNumberFormat="1" applyFont="1" applyFill="1" applyBorder="1" applyAlignment="1">
      <alignment horizontal="center" vertical="center"/>
    </xf>
    <xf numFmtId="3" fontId="23" fillId="37" borderId="43" xfId="0" applyNumberFormat="1" applyFont="1" applyFill="1" applyBorder="1" applyAlignment="1">
      <alignment horizontal="center" vertical="center"/>
    </xf>
    <xf numFmtId="3" fontId="23" fillId="37" borderId="6" xfId="0" applyNumberFormat="1" applyFont="1" applyFill="1" applyBorder="1" applyAlignment="1">
      <alignment horizontal="center" vertical="center"/>
    </xf>
    <xf numFmtId="3" fontId="23" fillId="37" borderId="5" xfId="0" applyNumberFormat="1" applyFont="1" applyFill="1" applyBorder="1" applyAlignment="1">
      <alignment horizontal="center" vertical="center"/>
    </xf>
    <xf numFmtId="164" fontId="23" fillId="37" borderId="40" xfId="0" applyNumberFormat="1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/>
    </xf>
    <xf numFmtId="3" fontId="23" fillId="37" borderId="16" xfId="0" applyNumberFormat="1" applyFont="1" applyFill="1" applyBorder="1" applyAlignment="1">
      <alignment horizontal="center" vertical="center"/>
    </xf>
    <xf numFmtId="3" fontId="23" fillId="37" borderId="2" xfId="0" applyNumberFormat="1" applyFont="1" applyFill="1" applyBorder="1" applyAlignment="1">
      <alignment horizontal="center" vertical="center"/>
    </xf>
    <xf numFmtId="3" fontId="23" fillId="37" borderId="39" xfId="0" applyNumberFormat="1" applyFont="1" applyFill="1" applyBorder="1" applyAlignment="1">
      <alignment horizontal="center" vertical="center"/>
    </xf>
    <xf numFmtId="3" fontId="23" fillId="37" borderId="3" xfId="0" applyNumberFormat="1" applyFont="1" applyFill="1" applyBorder="1" applyAlignment="1">
      <alignment horizontal="center" vertical="center"/>
    </xf>
    <xf numFmtId="3" fontId="23" fillId="37" borderId="1" xfId="0" applyNumberFormat="1" applyFont="1" applyFill="1" applyBorder="1" applyAlignment="1">
      <alignment horizontal="center" vertical="center"/>
    </xf>
    <xf numFmtId="164" fontId="23" fillId="37" borderId="37" xfId="0" applyNumberFormat="1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 wrapText="1"/>
    </xf>
    <xf numFmtId="164" fontId="28" fillId="37" borderId="37" xfId="0" applyNumberFormat="1" applyFont="1" applyFill="1" applyBorder="1" applyAlignment="1">
      <alignment horizontal="center" vertical="center"/>
    </xf>
    <xf numFmtId="49" fontId="23" fillId="37" borderId="1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35" xfId="0" applyNumberFormat="1" applyFont="1" applyFill="1" applyBorder="1" applyAlignment="1">
      <alignment horizontal="center" vertical="center"/>
    </xf>
    <xf numFmtId="3" fontId="23" fillId="0" borderId="36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vertical="center"/>
    </xf>
    <xf numFmtId="0" fontId="23" fillId="38" borderId="1" xfId="0" applyFont="1" applyFill="1" applyBorder="1" applyAlignment="1">
      <alignment horizontal="center" vertical="center"/>
    </xf>
    <xf numFmtId="3" fontId="23" fillId="38" borderId="16" xfId="0" applyNumberFormat="1" applyFont="1" applyFill="1" applyBorder="1" applyAlignment="1">
      <alignment horizontal="center" vertical="center"/>
    </xf>
    <xf numFmtId="3" fontId="23" fillId="38" borderId="2" xfId="0" applyNumberFormat="1" applyFont="1" applyFill="1" applyBorder="1" applyAlignment="1">
      <alignment horizontal="center" vertical="center"/>
    </xf>
    <xf numFmtId="3" fontId="23" fillId="38" borderId="39" xfId="0" applyNumberFormat="1" applyFont="1" applyFill="1" applyBorder="1" applyAlignment="1">
      <alignment horizontal="center" vertical="center"/>
    </xf>
    <xf numFmtId="3" fontId="23" fillId="38" borderId="3" xfId="0" applyNumberFormat="1" applyFont="1" applyFill="1" applyBorder="1" applyAlignment="1">
      <alignment horizontal="center" vertical="center"/>
    </xf>
    <xf numFmtId="3" fontId="23" fillId="38" borderId="1" xfId="0" applyNumberFormat="1" applyFont="1" applyFill="1" applyBorder="1" applyAlignment="1">
      <alignment horizontal="center" vertical="center"/>
    </xf>
    <xf numFmtId="164" fontId="23" fillId="38" borderId="37" xfId="0" applyNumberFormat="1" applyFont="1" applyFill="1" applyBorder="1" applyAlignment="1">
      <alignment horizontal="center" vertical="center"/>
    </xf>
    <xf numFmtId="164" fontId="28" fillId="38" borderId="37" xfId="0" applyNumberFormat="1" applyFont="1" applyFill="1" applyBorder="1" applyAlignment="1">
      <alignment horizontal="center" vertical="center"/>
    </xf>
    <xf numFmtId="0" fontId="23" fillId="38" borderId="50" xfId="0" applyFont="1" applyFill="1" applyBorder="1" applyAlignment="1">
      <alignment vertical="center"/>
    </xf>
    <xf numFmtId="0" fontId="23" fillId="38" borderId="49" xfId="0" applyFont="1" applyFill="1" applyBorder="1" applyAlignment="1">
      <alignment horizontal="center" vertical="center"/>
    </xf>
    <xf numFmtId="0" fontId="23" fillId="38" borderId="50" xfId="0" applyFont="1" applyFill="1" applyBorder="1" applyAlignment="1">
      <alignment horizontal="center" vertical="center"/>
    </xf>
    <xf numFmtId="0" fontId="23" fillId="38" borderId="47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 vertical="center"/>
    </xf>
    <xf numFmtId="0" fontId="23" fillId="38" borderId="48" xfId="0" applyFont="1" applyFill="1" applyBorder="1" applyAlignment="1">
      <alignment horizontal="center" vertical="center"/>
    </xf>
    <xf numFmtId="164" fontId="23" fillId="38" borderId="64" xfId="0" applyNumberFormat="1" applyFont="1" applyFill="1" applyBorder="1" applyAlignment="1">
      <alignment horizontal="center" vertical="center"/>
    </xf>
    <xf numFmtId="4" fontId="23" fillId="0" borderId="59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center"/>
    </xf>
    <xf numFmtId="3" fontId="23" fillId="0" borderId="58" xfId="0" applyNumberFormat="1" applyFont="1" applyFill="1" applyBorder="1" applyAlignment="1">
      <alignment horizontal="center"/>
    </xf>
    <xf numFmtId="3" fontId="0" fillId="0" borderId="0" xfId="0" applyNumberFormat="1" applyFill="1"/>
    <xf numFmtId="164" fontId="23" fillId="35" borderId="14" xfId="3" applyNumberFormat="1" applyFont="1" applyFill="1" applyBorder="1" applyAlignment="1">
      <alignment horizontal="center" vertical="center"/>
    </xf>
    <xf numFmtId="0" fontId="23" fillId="0" borderId="59" xfId="38" applyFont="1" applyFill="1" applyBorder="1" applyAlignment="1">
      <alignment vertical="center"/>
    </xf>
    <xf numFmtId="3" fontId="23" fillId="0" borderId="8" xfId="38" applyNumberFormat="1" applyFont="1" applyFill="1" applyBorder="1" applyAlignment="1">
      <alignment horizontal="center" vertical="center"/>
    </xf>
    <xf numFmtId="3" fontId="41" fillId="0" borderId="8" xfId="38" applyNumberFormat="1" applyFont="1" applyFill="1" applyBorder="1" applyAlignment="1">
      <alignment horizontal="center" vertical="center"/>
    </xf>
    <xf numFmtId="0" fontId="23" fillId="0" borderId="0" xfId="38" applyFont="1" applyFill="1" applyBorder="1"/>
    <xf numFmtId="0" fontId="47" fillId="39" borderId="67" xfId="0" applyFont="1" applyFill="1" applyBorder="1"/>
    <xf numFmtId="0" fontId="47" fillId="0" borderId="67" xfId="0" applyFont="1" applyBorder="1"/>
    <xf numFmtId="4" fontId="23" fillId="40" borderId="31" xfId="0" applyNumberFormat="1" applyFont="1" applyFill="1" applyBorder="1"/>
    <xf numFmtId="3" fontId="23" fillId="40" borderId="18" xfId="0" applyNumberFormat="1" applyFont="1" applyFill="1" applyBorder="1" applyAlignment="1">
      <alignment horizontal="center"/>
    </xf>
    <xf numFmtId="0" fontId="23" fillId="38" borderId="0" xfId="38" applyFont="1" applyFill="1" applyBorder="1" applyAlignment="1">
      <alignment horizontal="left" wrapText="1"/>
    </xf>
    <xf numFmtId="0" fontId="23" fillId="38" borderId="0" xfId="38" applyFont="1" applyFill="1" applyBorder="1" applyAlignment="1">
      <alignment horizontal="center" wrapText="1"/>
    </xf>
    <xf numFmtId="0" fontId="41" fillId="0" borderId="0" xfId="38" applyFont="1" applyFill="1" applyBorder="1"/>
    <xf numFmtId="0" fontId="23" fillId="0" borderId="0" xfId="38" applyFont="1" applyFill="1" applyBorder="1"/>
    <xf numFmtId="3" fontId="23" fillId="37" borderId="58" xfId="38" applyNumberFormat="1" applyFont="1" applyFill="1" applyBorder="1" applyAlignment="1">
      <alignment horizontal="center" vertical="center"/>
    </xf>
    <xf numFmtId="0" fontId="23" fillId="37" borderId="59" xfId="38" applyFont="1" applyFill="1" applyBorder="1" applyAlignment="1">
      <alignment horizontal="left" vertical="center" wrapText="1"/>
    </xf>
    <xf numFmtId="3" fontId="23" fillId="0" borderId="0" xfId="0" applyNumberFormat="1" applyFont="1" applyFill="1" applyBorder="1"/>
    <xf numFmtId="0" fontId="1" fillId="0" borderId="68" xfId="0" applyFont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48" fillId="0" borderId="8" xfId="0" quotePrefix="1" applyFont="1" applyBorder="1"/>
    <xf numFmtId="0" fontId="48" fillId="0" borderId="8" xfId="0" quotePrefix="1" applyFont="1" applyBorder="1" applyAlignment="1">
      <alignment horizontal="left"/>
    </xf>
    <xf numFmtId="3" fontId="48" fillId="0" borderId="8" xfId="0" applyNumberFormat="1" applyFont="1" applyBorder="1"/>
    <xf numFmtId="4" fontId="48" fillId="0" borderId="8" xfId="0" applyNumberFormat="1" applyFont="1" applyBorder="1"/>
    <xf numFmtId="4" fontId="48" fillId="0" borderId="0" xfId="0" applyNumberFormat="1" applyFont="1"/>
    <xf numFmtId="0" fontId="48" fillId="0" borderId="4" xfId="0" quotePrefix="1" applyFont="1" applyBorder="1" applyAlignment="1">
      <alignment horizontal="left"/>
    </xf>
    <xf numFmtId="0" fontId="48" fillId="0" borderId="0" xfId="0" quotePrefix="1" applyFont="1" applyBorder="1"/>
    <xf numFmtId="0" fontId="48" fillId="0" borderId="4" xfId="0" quotePrefix="1" applyFont="1" applyBorder="1"/>
    <xf numFmtId="3" fontId="48" fillId="0" borderId="4" xfId="0" applyNumberFormat="1" applyFont="1" applyBorder="1"/>
    <xf numFmtId="4" fontId="48" fillId="0" borderId="4" xfId="0" applyNumberFormat="1" applyFont="1" applyBorder="1"/>
    <xf numFmtId="9" fontId="48" fillId="0" borderId="4" xfId="1" quotePrefix="1" applyFont="1" applyBorder="1"/>
    <xf numFmtId="164" fontId="48" fillId="0" borderId="4" xfId="1" quotePrefix="1" applyNumberFormat="1" applyFont="1" applyBorder="1"/>
    <xf numFmtId="4" fontId="48" fillId="0" borderId="7" xfId="0" applyNumberFormat="1" applyFont="1" applyBorder="1"/>
    <xf numFmtId="0" fontId="49" fillId="2" borderId="9" xfId="0" applyFont="1" applyFill="1" applyBorder="1"/>
    <xf numFmtId="0" fontId="1" fillId="2" borderId="10" xfId="0" applyFont="1" applyFill="1" applyBorder="1"/>
    <xf numFmtId="3" fontId="1" fillId="2" borderId="11" xfId="0" applyNumberFormat="1" applyFont="1" applyFill="1" applyBorder="1"/>
    <xf numFmtId="44" fontId="0" fillId="0" borderId="0" xfId="0" applyNumberFormat="1" applyAlignment="1">
      <alignment horizontal="center"/>
    </xf>
    <xf numFmtId="3" fontId="48" fillId="0" borderId="4" xfId="0" quotePrefix="1" applyNumberFormat="1" applyFont="1" applyBorder="1"/>
    <xf numFmtId="4" fontId="48" fillId="0" borderId="4" xfId="0" applyNumberFormat="1" applyFont="1" applyBorder="1" applyAlignment="1">
      <alignment wrapText="1"/>
    </xf>
    <xf numFmtId="3" fontId="1" fillId="2" borderId="10" xfId="0" applyNumberFormat="1" applyFont="1" applyFill="1" applyBorder="1"/>
    <xf numFmtId="4" fontId="48" fillId="0" borderId="0" xfId="0" applyNumberFormat="1" applyFont="1" applyFill="1"/>
    <xf numFmtId="0" fontId="48" fillId="0" borderId="7" xfId="0" quotePrefix="1" applyFont="1" applyBorder="1"/>
    <xf numFmtId="0" fontId="49" fillId="2" borderId="12" xfId="0" applyFont="1" applyFill="1" applyBorder="1"/>
    <xf numFmtId="0" fontId="1" fillId="2" borderId="13" xfId="0" applyFont="1" applyFill="1" applyBorder="1"/>
    <xf numFmtId="4" fontId="1" fillId="2" borderId="14" xfId="0" applyNumberFormat="1" applyFont="1" applyFill="1" applyBorder="1"/>
    <xf numFmtId="4" fontId="0" fillId="0" borderId="0" xfId="0" applyNumberFormat="1"/>
    <xf numFmtId="0" fontId="50" fillId="0" borderId="70" xfId="2" applyFont="1" applyBorder="1" applyAlignment="1">
      <alignment horizontal="center"/>
    </xf>
    <xf numFmtId="0" fontId="50" fillId="0" borderId="71" xfId="2" applyFont="1" applyBorder="1" applyAlignment="1">
      <alignment horizontal="center"/>
    </xf>
    <xf numFmtId="0" fontId="7" fillId="0" borderId="0" xfId="2" applyFont="1" applyAlignment="1"/>
    <xf numFmtId="0" fontId="51" fillId="0" borderId="72" xfId="2" quotePrefix="1" applyFont="1" applyBorder="1"/>
    <xf numFmtId="0" fontId="51" fillId="0" borderId="72" xfId="2" applyFont="1" applyBorder="1"/>
    <xf numFmtId="3" fontId="51" fillId="0" borderId="72" xfId="2" applyNumberFormat="1" applyFont="1" applyBorder="1"/>
    <xf numFmtId="4" fontId="51" fillId="0" borderId="72" xfId="2" applyNumberFormat="1" applyFont="1" applyBorder="1"/>
    <xf numFmtId="4" fontId="51" fillId="0" borderId="0" xfId="2" applyNumberFormat="1" applyFont="1"/>
    <xf numFmtId="4" fontId="52" fillId="0" borderId="0" xfId="2" applyNumberFormat="1" applyFont="1"/>
    <xf numFmtId="0" fontId="52" fillId="0" borderId="0" xfId="2" applyFont="1" applyAlignment="1"/>
    <xf numFmtId="0" fontId="51" fillId="0" borderId="73" xfId="2" quotePrefix="1" applyFont="1" applyBorder="1"/>
    <xf numFmtId="0" fontId="51" fillId="0" borderId="73" xfId="2" applyFont="1" applyBorder="1"/>
    <xf numFmtId="3" fontId="51" fillId="0" borderId="73" xfId="2" applyNumberFormat="1" applyFont="1" applyBorder="1" applyAlignment="1"/>
    <xf numFmtId="4" fontId="51" fillId="0" borderId="73" xfId="2" applyNumberFormat="1" applyFont="1" applyBorder="1"/>
    <xf numFmtId="3" fontId="51" fillId="0" borderId="73" xfId="2" applyNumberFormat="1" applyFont="1" applyBorder="1"/>
    <xf numFmtId="4" fontId="53" fillId="0" borderId="0" xfId="2" applyNumberFormat="1" applyFont="1" applyAlignment="1"/>
    <xf numFmtId="0" fontId="51" fillId="0" borderId="73" xfId="2" applyFont="1" applyBorder="1" applyAlignment="1">
      <alignment horizontal="left"/>
    </xf>
    <xf numFmtId="9" fontId="51" fillId="0" borderId="73" xfId="2" applyNumberFormat="1" applyFont="1" applyBorder="1"/>
    <xf numFmtId="4" fontId="51" fillId="0" borderId="0" xfId="2" applyNumberFormat="1" applyFont="1" applyAlignment="1"/>
    <xf numFmtId="0" fontId="51" fillId="0" borderId="73" xfId="2" quotePrefix="1" applyFont="1" applyBorder="1" applyAlignment="1"/>
    <xf numFmtId="0" fontId="51" fillId="0" borderId="73" xfId="2" applyFont="1" applyBorder="1" applyAlignment="1"/>
    <xf numFmtId="164" fontId="51" fillId="0" borderId="73" xfId="2" applyNumberFormat="1" applyFont="1" applyBorder="1"/>
    <xf numFmtId="4" fontId="51" fillId="0" borderId="73" xfId="2" applyNumberFormat="1" applyFont="1" applyBorder="1" applyAlignment="1"/>
    <xf numFmtId="0" fontId="51" fillId="0" borderId="74" xfId="2" quotePrefix="1" applyFont="1" applyBorder="1"/>
    <xf numFmtId="4" fontId="51" fillId="0" borderId="74" xfId="2" applyNumberFormat="1" applyFont="1" applyBorder="1"/>
    <xf numFmtId="0" fontId="53" fillId="41" borderId="75" xfId="2" applyFont="1" applyFill="1" applyBorder="1"/>
    <xf numFmtId="0" fontId="50" fillId="41" borderId="76" xfId="2" applyFont="1" applyFill="1" applyBorder="1"/>
    <xf numFmtId="3" fontId="50" fillId="41" borderId="77" xfId="2" applyNumberFormat="1" applyFont="1" applyFill="1" applyBorder="1"/>
    <xf numFmtId="4" fontId="7" fillId="0" borderId="0" xfId="2" applyNumberFormat="1" applyFont="1"/>
    <xf numFmtId="0" fontId="53" fillId="41" borderId="78" xfId="2" applyFont="1" applyFill="1" applyBorder="1"/>
    <xf numFmtId="0" fontId="50" fillId="41" borderId="79" xfId="2" applyFont="1" applyFill="1" applyBorder="1"/>
    <xf numFmtId="3" fontId="50" fillId="41" borderId="80" xfId="2" applyNumberFormat="1" applyFont="1" applyFill="1" applyBorder="1"/>
    <xf numFmtId="4" fontId="50" fillId="0" borderId="0" xfId="2" applyNumberFormat="1" applyFont="1"/>
    <xf numFmtId="0" fontId="50" fillId="0" borderId="0" xfId="2" applyFont="1"/>
    <xf numFmtId="0" fontId="0" fillId="0" borderId="2" xfId="0" applyBorder="1"/>
    <xf numFmtId="0" fontId="49" fillId="2" borderId="2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48" fillId="0" borderId="2" xfId="0" applyFont="1" applyBorder="1" applyAlignment="1">
      <alignment horizontal="left"/>
    </xf>
    <xf numFmtId="4" fontId="48" fillId="0" borderId="2" xfId="0" applyNumberFormat="1" applyFont="1" applyBorder="1"/>
    <xf numFmtId="0" fontId="48" fillId="0" borderId="7" xfId="0" quotePrefix="1" applyFont="1" applyBorder="1" applyAlignment="1">
      <alignment horizontal="left"/>
    </xf>
    <xf numFmtId="3" fontId="49" fillId="2" borderId="2" xfId="0" applyNumberFormat="1" applyFont="1" applyFill="1" applyBorder="1"/>
    <xf numFmtId="0" fontId="49" fillId="0" borderId="2" xfId="0" applyFont="1" applyBorder="1"/>
    <xf numFmtId="0" fontId="4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48" fillId="0" borderId="2" xfId="0" applyNumberFormat="1" applyFont="1" applyBorder="1" applyAlignment="1">
      <alignment horizontal="right" vertical="center"/>
    </xf>
    <xf numFmtId="0" fontId="48" fillId="0" borderId="2" xfId="0" applyFont="1" applyBorder="1" applyAlignment="1">
      <alignment horizontal="left" vertical="center" wrapText="1"/>
    </xf>
    <xf numFmtId="0" fontId="4" fillId="0" borderId="0" xfId="0" applyFont="1"/>
    <xf numFmtId="4" fontId="48" fillId="0" borderId="4" xfId="0" applyNumberFormat="1" applyFont="1" applyBorder="1" applyAlignment="1"/>
    <xf numFmtId="0" fontId="7" fillId="0" borderId="0" xfId="2" applyFont="1"/>
    <xf numFmtId="0" fontId="51" fillId="0" borderId="73" xfId="2" applyFont="1" applyBorder="1" applyAlignment="1">
      <alignment vertical="center"/>
    </xf>
    <xf numFmtId="3" fontId="51" fillId="0" borderId="73" xfId="2" applyNumberFormat="1" applyFont="1" applyBorder="1" applyAlignment="1">
      <alignment vertical="center"/>
    </xf>
    <xf numFmtId="0" fontId="51" fillId="0" borderId="81" xfId="2" applyFont="1" applyFill="1" applyBorder="1" applyAlignment="1">
      <alignment vertical="center" wrapText="1"/>
    </xf>
    <xf numFmtId="3" fontId="1" fillId="2" borderId="14" xfId="0" applyNumberFormat="1" applyFont="1" applyFill="1" applyBorder="1"/>
    <xf numFmtId="3" fontId="48" fillId="0" borderId="2" xfId="0" applyNumberFormat="1" applyFont="1" applyFill="1" applyBorder="1"/>
    <xf numFmtId="0" fontId="50" fillId="0" borderId="82" xfId="2" applyFont="1" applyBorder="1" applyAlignment="1">
      <alignment horizontal="center"/>
    </xf>
    <xf numFmtId="0" fontId="50" fillId="0" borderId="0" xfId="2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48" fillId="0" borderId="0" xfId="0" applyNumberFormat="1" applyFont="1" applyBorder="1"/>
    <xf numFmtId="3" fontId="49" fillId="0" borderId="0" xfId="0" applyNumberFormat="1" applyFont="1" applyBorder="1"/>
    <xf numFmtId="3" fontId="0" fillId="0" borderId="0" xfId="0" applyNumberFormat="1" applyBorder="1"/>
    <xf numFmtId="3" fontId="48" fillId="0" borderId="0" xfId="0" applyNumberFormat="1" applyFont="1" applyBorder="1" applyAlignment="1"/>
    <xf numFmtId="0" fontId="1" fillId="0" borderId="83" xfId="0" applyFont="1" applyFill="1" applyBorder="1" applyAlignment="1">
      <alignment horizontal="center"/>
    </xf>
    <xf numFmtId="4" fontId="48" fillId="0" borderId="8" xfId="0" applyNumberFormat="1" applyFont="1" applyBorder="1" applyAlignment="1">
      <alignment wrapText="1"/>
    </xf>
    <xf numFmtId="0" fontId="0" fillId="0" borderId="81" xfId="0" applyBorder="1"/>
    <xf numFmtId="0" fontId="58" fillId="0" borderId="0" xfId="0" applyFont="1" applyBorder="1"/>
    <xf numFmtId="4" fontId="58" fillId="0" borderId="0" xfId="0" applyNumberFormat="1" applyFont="1" applyBorder="1" applyAlignment="1">
      <alignment horizontal="right"/>
    </xf>
    <xf numFmtId="4" fontId="58" fillId="0" borderId="0" xfId="0" applyNumberFormat="1" applyFont="1" applyBorder="1"/>
    <xf numFmtId="4" fontId="51" fillId="0" borderId="0" xfId="0" applyNumberFormat="1" applyFont="1" applyBorder="1"/>
    <xf numFmtId="4" fontId="48" fillId="0" borderId="0" xfId="0" quotePrefix="1" applyNumberFormat="1" applyFont="1" applyBorder="1"/>
    <xf numFmtId="0" fontId="59" fillId="0" borderId="0" xfId="2" applyFont="1" applyBorder="1"/>
    <xf numFmtId="0" fontId="51" fillId="0" borderId="0" xfId="2" applyFont="1" applyBorder="1"/>
    <xf numFmtId="0" fontId="60" fillId="0" borderId="4" xfId="79" applyFont="1" applyFill="1" applyBorder="1"/>
    <xf numFmtId="4" fontId="61" fillId="0" borderId="4" xfId="0" applyNumberFormat="1" applyFont="1" applyBorder="1"/>
    <xf numFmtId="4" fontId="48" fillId="40" borderId="0" xfId="0" applyNumberFormat="1" applyFont="1" applyFill="1" applyBorder="1" applyAlignment="1">
      <alignment vertical="center" wrapText="1"/>
    </xf>
    <xf numFmtId="0" fontId="0" fillId="0" borderId="0" xfId="0" applyBorder="1"/>
    <xf numFmtId="4" fontId="48" fillId="40" borderId="0" xfId="0" applyNumberFormat="1" applyFont="1" applyFill="1" applyBorder="1" applyAlignment="1">
      <alignment vertical="center"/>
    </xf>
    <xf numFmtId="4" fontId="48" fillId="0" borderId="0" xfId="0" applyNumberFormat="1" applyFont="1" applyBorder="1"/>
    <xf numFmtId="0" fontId="58" fillId="0" borderId="0" xfId="79" applyFont="1" applyFill="1" applyBorder="1"/>
    <xf numFmtId="4" fontId="58" fillId="0" borderId="0" xfId="79" applyNumberFormat="1" applyFont="1" applyFill="1" applyBorder="1" applyAlignment="1">
      <alignment horizontal="right"/>
    </xf>
    <xf numFmtId="0" fontId="48" fillId="0" borderId="0" xfId="79" applyFont="1" applyFill="1" applyBorder="1"/>
    <xf numFmtId="0" fontId="58" fillId="0" borderId="0" xfId="79" applyFont="1" applyFill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/>
    <xf numFmtId="0" fontId="48" fillId="0" borderId="0" xfId="0" applyFont="1" applyAlignment="1">
      <alignment horizontal="left"/>
    </xf>
    <xf numFmtId="0" fontId="5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" fontId="58" fillId="0" borderId="0" xfId="79" applyNumberFormat="1" applyFont="1" applyFill="1" applyBorder="1"/>
    <xf numFmtId="4" fontId="48" fillId="0" borderId="0" xfId="0" applyNumberFormat="1" applyFont="1" applyBorder="1" applyAlignment="1">
      <alignment wrapText="1"/>
    </xf>
    <xf numFmtId="4" fontId="58" fillId="0" borderId="0" xfId="79" applyNumberFormat="1" applyFont="1" applyFill="1" applyBorder="1" applyAlignment="1"/>
    <xf numFmtId="179" fontId="48" fillId="0" borderId="0" xfId="0" applyNumberFormat="1" applyFont="1" applyBorder="1" applyAlignment="1"/>
    <xf numFmtId="4" fontId="58" fillId="40" borderId="0" xfId="79" applyNumberFormat="1" applyFont="1" applyFill="1" applyBorder="1" applyAlignment="1"/>
    <xf numFmtId="4" fontId="62" fillId="0" borderId="0" xfId="79" applyNumberFormat="1" applyFont="1" applyFill="1" applyBorder="1" applyAlignment="1"/>
    <xf numFmtId="4" fontId="58" fillId="0" borderId="0" xfId="0" applyNumberFormat="1" applyFont="1" applyFill="1" applyBorder="1" applyAlignment="1">
      <alignment wrapText="1"/>
    </xf>
    <xf numFmtId="0" fontId="48" fillId="0" borderId="2" xfId="0" quotePrefix="1" applyFont="1" applyBorder="1"/>
    <xf numFmtId="0" fontId="48" fillId="0" borderId="0" xfId="0" applyFont="1" applyFill="1" applyBorder="1"/>
    <xf numFmtId="0" fontId="58" fillId="0" borderId="0" xfId="0" applyFont="1" applyFill="1" applyBorder="1"/>
    <xf numFmtId="0" fontId="63" fillId="0" borderId="0" xfId="79" applyFont="1" applyFill="1" applyBorder="1"/>
    <xf numFmtId="4" fontId="48" fillId="0" borderId="0" xfId="0" applyNumberFormat="1" applyFont="1" applyFill="1" applyBorder="1"/>
    <xf numFmtId="4" fontId="48" fillId="0" borderId="0" xfId="79" applyNumberFormat="1" applyFont="1" applyFill="1" applyBorder="1"/>
    <xf numFmtId="4" fontId="48" fillId="0" borderId="0" xfId="79" applyNumberFormat="1" applyFont="1" applyFill="1" applyBorder="1" applyAlignment="1">
      <alignment vertical="center"/>
    </xf>
    <xf numFmtId="0" fontId="58" fillId="40" borderId="0" xfId="79" applyFont="1" applyFill="1" applyBorder="1"/>
    <xf numFmtId="0" fontId="58" fillId="40" borderId="0" xfId="0" applyFont="1" applyFill="1" applyBorder="1"/>
    <xf numFmtId="0" fontId="58" fillId="0" borderId="0" xfId="0" applyFont="1" applyBorder="1" applyAlignment="1">
      <alignment wrapText="1"/>
    </xf>
    <xf numFmtId="0" fontId="58" fillId="0" borderId="0" xfId="79" applyFont="1" applyFill="1" applyBorder="1" applyAlignment="1">
      <alignment wrapText="1"/>
    </xf>
    <xf numFmtId="0" fontId="48" fillId="0" borderId="0" xfId="0" applyFont="1" applyBorder="1" applyAlignment="1">
      <alignment vertical="center"/>
    </xf>
    <xf numFmtId="3" fontId="48" fillId="0" borderId="0" xfId="0" quotePrefix="1" applyNumberFormat="1" applyFont="1" applyBorder="1"/>
    <xf numFmtId="0" fontId="58" fillId="0" borderId="0" xfId="0" applyFont="1" applyBorder="1" applyAlignment="1">
      <alignment horizontal="left" vertical="center"/>
    </xf>
    <xf numFmtId="180" fontId="48" fillId="0" borderId="0" xfId="0" applyNumberFormat="1" applyFont="1" applyBorder="1" applyAlignment="1">
      <alignment horizontal="right"/>
    </xf>
    <xf numFmtId="180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vertical="center"/>
    </xf>
    <xf numFmtId="0" fontId="48" fillId="0" borderId="0" xfId="0" quotePrefix="1" applyFont="1" applyBorder="1" applyAlignment="1">
      <alignment wrapText="1"/>
    </xf>
    <xf numFmtId="0" fontId="23" fillId="0" borderId="2" xfId="38" applyFont="1" applyFill="1" applyBorder="1" applyAlignment="1">
      <alignment horizontal="center" vertical="center" wrapText="1"/>
    </xf>
    <xf numFmtId="3" fontId="23" fillId="0" borderId="2" xfId="38" applyNumberFormat="1" applyFont="1" applyFill="1" applyBorder="1" applyAlignment="1">
      <alignment vertical="center"/>
    </xf>
    <xf numFmtId="0" fontId="49" fillId="0" borderId="57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66" xfId="0" applyFont="1" applyFill="1" applyBorder="1" applyAlignment="1">
      <alignment horizontal="center"/>
    </xf>
    <xf numFmtId="0" fontId="49" fillId="2" borderId="10" xfId="0" applyFont="1" applyFill="1" applyBorder="1"/>
    <xf numFmtId="0" fontId="49" fillId="2" borderId="13" xfId="0" applyFont="1" applyFill="1" applyBorder="1"/>
    <xf numFmtId="3" fontId="49" fillId="2" borderId="11" xfId="0" applyNumberFormat="1" applyFont="1" applyFill="1" applyBorder="1"/>
    <xf numFmtId="3" fontId="49" fillId="2" borderId="14" xfId="0" applyNumberFormat="1" applyFont="1" applyFill="1" applyBorder="1"/>
    <xf numFmtId="0" fontId="48" fillId="0" borderId="0" xfId="0" applyFont="1" applyFill="1" applyBorder="1" applyAlignment="1">
      <alignment horizontal="left"/>
    </xf>
    <xf numFmtId="0" fontId="49" fillId="0" borderId="57" xfId="38" applyFont="1" applyBorder="1" applyAlignment="1">
      <alignment horizontal="center"/>
    </xf>
    <xf numFmtId="0" fontId="49" fillId="0" borderId="52" xfId="38" applyFont="1" applyBorder="1" applyAlignment="1">
      <alignment horizontal="center"/>
    </xf>
    <xf numFmtId="0" fontId="48" fillId="0" borderId="8" xfId="38" quotePrefix="1" applyFont="1" applyBorder="1"/>
    <xf numFmtId="4" fontId="48" fillId="0" borderId="8" xfId="38" applyNumberFormat="1" applyFont="1" applyBorder="1"/>
    <xf numFmtId="0" fontId="48" fillId="0" borderId="4" xfId="38" quotePrefix="1" applyFont="1" applyBorder="1"/>
    <xf numFmtId="4" fontId="48" fillId="0" borderId="4" xfId="38" applyNumberFormat="1" applyFont="1" applyBorder="1"/>
    <xf numFmtId="0" fontId="48" fillId="0" borderId="4" xfId="38" quotePrefix="1" applyFont="1" applyBorder="1" applyAlignment="1">
      <alignment horizontal="left"/>
    </xf>
    <xf numFmtId="9" fontId="48" fillId="0" borderId="4" xfId="59" quotePrefix="1" applyFont="1" applyBorder="1"/>
    <xf numFmtId="164" fontId="48" fillId="0" borderId="4" xfId="59" quotePrefix="1" applyNumberFormat="1" applyFont="1" applyBorder="1"/>
    <xf numFmtId="0" fontId="48" fillId="0" borderId="7" xfId="38" quotePrefix="1" applyFont="1" applyBorder="1"/>
    <xf numFmtId="0" fontId="58" fillId="0" borderId="0" xfId="38" applyFont="1"/>
    <xf numFmtId="0" fontId="49" fillId="2" borderId="9" xfId="38" applyFont="1" applyFill="1" applyBorder="1"/>
    <xf numFmtId="0" fontId="49" fillId="2" borderId="10" xfId="38" applyFont="1" applyFill="1" applyBorder="1"/>
    <xf numFmtId="4" fontId="49" fillId="2" borderId="11" xfId="38" applyNumberFormat="1" applyFont="1" applyFill="1" applyBorder="1"/>
    <xf numFmtId="0" fontId="49" fillId="2" borderId="12" xfId="38" applyFont="1" applyFill="1" applyBorder="1"/>
    <xf numFmtId="0" fontId="49" fillId="2" borderId="13" xfId="38" applyFont="1" applyFill="1" applyBorder="1"/>
    <xf numFmtId="4" fontId="49" fillId="2" borderId="14" xfId="38" applyNumberFormat="1" applyFont="1" applyFill="1" applyBorder="1"/>
    <xf numFmtId="1" fontId="48" fillId="0" borderId="4" xfId="0" applyNumberFormat="1" applyFont="1" applyBorder="1" applyAlignment="1">
      <alignment horizontal="left"/>
    </xf>
    <xf numFmtId="1" fontId="48" fillId="0" borderId="8" xfId="0" applyNumberFormat="1" applyFont="1" applyBorder="1" applyAlignment="1">
      <alignment horizontal="left"/>
    </xf>
    <xf numFmtId="1" fontId="48" fillId="0" borderId="4" xfId="0" applyNumberFormat="1" applyFont="1" applyBorder="1" applyAlignment="1">
      <alignment horizontal="left" wrapText="1"/>
    </xf>
    <xf numFmtId="3" fontId="48" fillId="0" borderId="0" xfId="0" applyNumberFormat="1" applyFont="1"/>
    <xf numFmtId="0" fontId="49" fillId="40" borderId="0" xfId="0" applyFont="1" applyFill="1" applyBorder="1"/>
    <xf numFmtId="0" fontId="1" fillId="40" borderId="0" xfId="0" applyFont="1" applyFill="1" applyBorder="1"/>
    <xf numFmtId="3" fontId="1" fillId="40" borderId="0" xfId="0" applyNumberFormat="1" applyFont="1" applyFill="1" applyBorder="1"/>
    <xf numFmtId="0" fontId="48" fillId="40" borderId="0" xfId="0" applyFont="1" applyFill="1" applyBorder="1"/>
    <xf numFmtId="0" fontId="64" fillId="40" borderId="0" xfId="0" applyFont="1" applyFill="1" applyBorder="1"/>
    <xf numFmtId="0" fontId="23" fillId="0" borderId="84" xfId="38" applyFont="1" applyFill="1" applyBorder="1"/>
    <xf numFmtId="0" fontId="26" fillId="0" borderId="84" xfId="38" applyFont="1" applyFill="1" applyBorder="1"/>
    <xf numFmtId="0" fontId="26" fillId="0" borderId="2" xfId="38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/>
    </xf>
    <xf numFmtId="0" fontId="37" fillId="34" borderId="39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vertical="center"/>
    </xf>
    <xf numFmtId="0" fontId="26" fillId="0" borderId="15" xfId="3" applyFont="1" applyFill="1" applyBorder="1" applyAlignment="1">
      <alignment horizontal="center" vertical="center" wrapText="1"/>
    </xf>
    <xf numFmtId="0" fontId="26" fillId="0" borderId="45" xfId="3" applyFont="1" applyFill="1" applyBorder="1" applyAlignment="1">
      <alignment horizontal="center" vertical="center" wrapText="1"/>
    </xf>
    <xf numFmtId="0" fontId="23" fillId="0" borderId="55" xfId="3" applyFont="1" applyFill="1" applyBorder="1" applyAlignment="1">
      <alignment horizontal="center" vertical="center" wrapText="1"/>
    </xf>
    <xf numFmtId="0" fontId="23" fillId="0" borderId="56" xfId="3" applyFont="1" applyFill="1" applyBorder="1" applyAlignment="1">
      <alignment horizontal="center" vertical="center" wrapText="1"/>
    </xf>
    <xf numFmtId="0" fontId="23" fillId="0" borderId="54" xfId="3" applyFont="1" applyFill="1" applyBorder="1" applyAlignment="1">
      <alignment horizontal="center" vertical="center" wrapText="1"/>
    </xf>
    <xf numFmtId="0" fontId="23" fillId="0" borderId="53" xfId="3" applyFont="1" applyFill="1" applyBorder="1" applyAlignment="1">
      <alignment horizontal="center" vertical="center" wrapText="1"/>
    </xf>
    <xf numFmtId="0" fontId="23" fillId="0" borderId="52" xfId="3" applyFont="1" applyFill="1" applyBorder="1" applyAlignment="1">
      <alignment horizontal="center" vertical="center" wrapText="1"/>
    </xf>
    <xf numFmtId="0" fontId="23" fillId="0" borderId="51" xfId="3" applyFont="1" applyFill="1" applyBorder="1" applyAlignment="1">
      <alignment horizontal="center" vertical="center" wrapText="1"/>
    </xf>
    <xf numFmtId="0" fontId="26" fillId="0" borderId="56" xfId="38" applyFont="1" applyFill="1" applyBorder="1" applyAlignment="1">
      <alignment horizontal="left" vertical="center" wrapText="1"/>
    </xf>
    <xf numFmtId="0" fontId="26" fillId="0" borderId="54" xfId="38" applyFont="1" applyFill="1" applyBorder="1" applyAlignment="1">
      <alignment horizontal="left" vertical="center" wrapText="1"/>
    </xf>
    <xf numFmtId="0" fontId="26" fillId="0" borderId="65" xfId="38" applyFont="1" applyFill="1" applyBorder="1" applyAlignment="1">
      <alignment horizontal="left" vertical="center" wrapText="1"/>
    </xf>
    <xf numFmtId="0" fontId="26" fillId="0" borderId="10" xfId="38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23" fillId="0" borderId="0" xfId="38" applyFont="1" applyFill="1" applyBorder="1" applyAlignment="1">
      <alignment horizontal="left" wrapText="1"/>
    </xf>
    <xf numFmtId="0" fontId="23" fillId="0" borderId="0" xfId="38" applyFont="1" applyFill="1" applyBorder="1"/>
    <xf numFmtId="0" fontId="23" fillId="0" borderId="0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horizontal="left"/>
    </xf>
    <xf numFmtId="49" fontId="23" fillId="0" borderId="0" xfId="38" applyNumberFormat="1" applyFont="1" applyFill="1" applyBorder="1" applyAlignment="1">
      <alignment horizontal="center" vertical="center" wrapText="1"/>
    </xf>
    <xf numFmtId="0" fontId="23" fillId="0" borderId="52" xfId="54" applyFont="1" applyFill="1" applyBorder="1" applyAlignment="1">
      <alignment horizontal="center" vertical="center" wrapText="1"/>
    </xf>
    <xf numFmtId="0" fontId="23" fillId="0" borderId="52" xfId="53" applyFont="1" applyFill="1" applyBorder="1" applyAlignment="1">
      <alignment horizontal="center" vertical="center" wrapText="1"/>
    </xf>
    <xf numFmtId="0" fontId="23" fillId="0" borderId="51" xfId="53" applyFont="1" applyFill="1" applyBorder="1" applyAlignment="1">
      <alignment horizontal="center" vertical="center" wrapText="1"/>
    </xf>
    <xf numFmtId="4" fontId="23" fillId="0" borderId="0" xfId="54" applyNumberFormat="1" applyFont="1" applyFill="1" applyBorder="1" applyAlignment="1">
      <alignment horizontal="right"/>
    </xf>
    <xf numFmtId="3" fontId="23" fillId="0" borderId="0" xfId="38" applyNumberFormat="1" applyFont="1" applyFill="1" applyBorder="1" applyAlignment="1"/>
    <xf numFmtId="4" fontId="23" fillId="0" borderId="0" xfId="38" applyNumberFormat="1" applyFont="1" applyFill="1" applyBorder="1" applyAlignment="1">
      <alignment horizontal="right"/>
    </xf>
    <xf numFmtId="169" fontId="23" fillId="0" borderId="61" xfId="54" applyNumberFormat="1" applyFont="1" applyFill="1" applyBorder="1" applyAlignment="1">
      <alignment horizontal="center" vertical="center" wrapText="1"/>
    </xf>
    <xf numFmtId="169" fontId="23" fillId="0" borderId="55" xfId="54" applyNumberFormat="1" applyFont="1" applyFill="1" applyBorder="1" applyAlignment="1">
      <alignment horizontal="center" vertical="center" wrapText="1"/>
    </xf>
    <xf numFmtId="169" fontId="23" fillId="0" borderId="53" xfId="54" applyNumberFormat="1" applyFont="1" applyFill="1" applyBorder="1" applyAlignment="1">
      <alignment horizontal="center" vertical="center" wrapText="1"/>
    </xf>
    <xf numFmtId="169" fontId="23" fillId="0" borderId="52" xfId="54" applyNumberFormat="1" applyFont="1" applyFill="1" applyBorder="1" applyAlignment="1">
      <alignment horizontal="center" vertical="center"/>
    </xf>
    <xf numFmtId="0" fontId="23" fillId="0" borderId="0" xfId="38" applyFont="1" applyFill="1" applyBorder="1" applyAlignment="1"/>
    <xf numFmtId="168" fontId="23" fillId="0" borderId="0" xfId="38" applyNumberFormat="1" applyFont="1" applyFill="1" applyBorder="1" applyAlignment="1">
      <alignment horizontal="right"/>
    </xf>
    <xf numFmtId="2" fontId="23" fillId="0" borderId="0" xfId="38" applyNumberFormat="1" applyFont="1" applyFill="1" applyBorder="1" applyAlignment="1">
      <alignment horizontal="right"/>
    </xf>
    <xf numFmtId="164" fontId="23" fillId="0" borderId="0" xfId="38" applyNumberFormat="1" applyFont="1" applyFill="1" applyBorder="1" applyAlignment="1">
      <alignment horizontal="right"/>
    </xf>
    <xf numFmtId="0" fontId="23" fillId="36" borderId="0" xfId="39" applyFont="1" applyFill="1" applyBorder="1" applyAlignment="1">
      <alignment horizontal="left" vertical="center" wrapText="1"/>
    </xf>
    <xf numFmtId="0" fontId="23" fillId="0" borderId="0" xfId="38" applyFont="1" applyFill="1" applyBorder="1" applyAlignment="1">
      <alignment horizontal="center"/>
    </xf>
    <xf numFmtId="49" fontId="23" fillId="0" borderId="0" xfId="38" applyNumberFormat="1" applyFont="1" applyFill="1" applyBorder="1" applyAlignment="1">
      <alignment horizontal="left" wrapText="1"/>
    </xf>
    <xf numFmtId="0" fontId="26" fillId="0" borderId="53" xfId="38" applyFont="1" applyFill="1" applyBorder="1" applyAlignment="1">
      <alignment horizontal="center"/>
    </xf>
    <xf numFmtId="0" fontId="26" fillId="0" borderId="52" xfId="38" applyFont="1" applyFill="1" applyBorder="1" applyAlignment="1">
      <alignment horizontal="center"/>
    </xf>
    <xf numFmtId="0" fontId="26" fillId="0" borderId="61" xfId="38" applyFont="1" applyFill="1" applyBorder="1" applyAlignment="1">
      <alignment horizontal="center"/>
    </xf>
    <xf numFmtId="0" fontId="26" fillId="0" borderId="57" xfId="38" applyFont="1" applyFill="1" applyBorder="1" applyAlignment="1">
      <alignment horizontal="center" vertical="center"/>
    </xf>
    <xf numFmtId="0" fontId="26" fillId="0" borderId="52" xfId="38" applyFont="1" applyFill="1" applyBorder="1" applyAlignment="1">
      <alignment horizontal="center" vertical="center"/>
    </xf>
    <xf numFmtId="0" fontId="26" fillId="0" borderId="51" xfId="38" applyFont="1" applyFill="1" applyBorder="1" applyAlignment="1">
      <alignment horizontal="center" vertical="center"/>
    </xf>
    <xf numFmtId="0" fontId="26" fillId="0" borderId="53" xfId="38" applyFont="1" applyFill="1" applyBorder="1" applyAlignment="1">
      <alignment horizontal="center" vertical="center"/>
    </xf>
    <xf numFmtId="0" fontId="26" fillId="0" borderId="61" xfId="38" applyFont="1" applyFill="1" applyBorder="1" applyAlignment="1">
      <alignment horizontal="center" vertical="center"/>
    </xf>
    <xf numFmtId="49" fontId="23" fillId="0" borderId="0" xfId="38" applyNumberFormat="1" applyFont="1" applyFill="1" applyBorder="1" applyAlignment="1">
      <alignment horizontal="left"/>
    </xf>
    <xf numFmtId="0" fontId="26" fillId="0" borderId="57" xfId="38" applyFont="1" applyFill="1" applyBorder="1" applyAlignment="1">
      <alignment horizontal="center"/>
    </xf>
    <xf numFmtId="0" fontId="26" fillId="0" borderId="51" xfId="38" applyFont="1" applyFill="1" applyBorder="1" applyAlignment="1">
      <alignment horizontal="center"/>
    </xf>
    <xf numFmtId="0" fontId="27" fillId="0" borderId="0" xfId="40" applyFont="1" applyFill="1" applyBorder="1" applyAlignment="1">
      <alignment horizontal="center"/>
    </xf>
    <xf numFmtId="0" fontId="23" fillId="0" borderId="52" xfId="38" applyFont="1" applyFill="1" applyBorder="1" applyAlignment="1">
      <alignment horizontal="center" vertical="center" wrapText="1"/>
    </xf>
    <xf numFmtId="0" fontId="23" fillId="0" borderId="2" xfId="38" applyFont="1" applyFill="1" applyBorder="1" applyAlignment="1">
      <alignment horizontal="center" vertical="center" wrapText="1"/>
    </xf>
    <xf numFmtId="0" fontId="23" fillId="0" borderId="9" xfId="38" applyFont="1" applyBorder="1" applyAlignment="1">
      <alignment horizontal="center"/>
    </xf>
    <xf numFmtId="0" fontId="23" fillId="0" borderId="44" xfId="38" applyFont="1" applyBorder="1" applyAlignment="1">
      <alignment horizontal="center"/>
    </xf>
    <xf numFmtId="0" fontId="23" fillId="0" borderId="51" xfId="38" applyFont="1" applyFill="1" applyBorder="1" applyAlignment="1">
      <alignment horizontal="center" vertical="center" wrapText="1"/>
    </xf>
    <xf numFmtId="0" fontId="23" fillId="0" borderId="39" xfId="38" applyFont="1" applyFill="1" applyBorder="1" applyAlignment="1">
      <alignment horizontal="center" vertical="center" wrapText="1"/>
    </xf>
  </cellXfs>
  <cellStyles count="80">
    <cellStyle name="20 % – Zvýraznění1 2" xfId="4"/>
    <cellStyle name="20 % – Zvýraznění2 2" xfId="5"/>
    <cellStyle name="20 % – Zvýraznění3 2" xfId="6"/>
    <cellStyle name="20 % – Zvýraznění4 2" xfId="7"/>
    <cellStyle name="20 % – Zvýraznění5 2" xfId="8"/>
    <cellStyle name="20 % – Zvýraznění6 2" xfId="9"/>
    <cellStyle name="40 % – Zvýraznění1 2" xfId="10"/>
    <cellStyle name="40 % – Zvýraznění2 2" xfId="11"/>
    <cellStyle name="40 % – Zvýraznění3 2" xfId="12"/>
    <cellStyle name="40 % – Zvýraznění4 2" xfId="13"/>
    <cellStyle name="40 % – Zvýraznění5 2" xfId="14"/>
    <cellStyle name="40 % – Zvýraznění6 2" xfId="15"/>
    <cellStyle name="60 % – Zvýraznění1 2" xfId="16"/>
    <cellStyle name="60 % – Zvýraznění2 2" xfId="17"/>
    <cellStyle name="60 % – Zvýraznění3 2" xfId="18"/>
    <cellStyle name="60 % – Zvýraznění4 2" xfId="19"/>
    <cellStyle name="60 % – Zvýraznění5 2" xfId="20"/>
    <cellStyle name="60 % – Zvýraznění6 2" xfId="21"/>
    <cellStyle name="Celkem 2" xfId="22"/>
    <cellStyle name="Čárka" xfId="74" builtinId="3"/>
    <cellStyle name="Čárka 2" xfId="23"/>
    <cellStyle name="Čárka 3" xfId="76"/>
    <cellStyle name="Excel Built-in Normal" xfId="24"/>
    <cellStyle name="Excel Built-in Percent" xfId="25"/>
    <cellStyle name="Hyperlink" xfId="26"/>
    <cellStyle name="Chybně 2" xfId="27"/>
    <cellStyle name="Kontrolní buňka 2" xfId="28"/>
    <cellStyle name="Měna 2" xfId="29"/>
    <cellStyle name="Nadpis 1 2" xfId="30"/>
    <cellStyle name="Nadpis 2 2" xfId="31"/>
    <cellStyle name="Nadpis 3 2" xfId="32"/>
    <cellStyle name="Nadpis 4 2" xfId="33"/>
    <cellStyle name="Název 2" xfId="34"/>
    <cellStyle name="Název 3" xfId="35"/>
    <cellStyle name="Neutrální 2" xfId="36"/>
    <cellStyle name="Normal 2" xfId="77"/>
    <cellStyle name="Normální" xfId="0" builtinId="0"/>
    <cellStyle name="Normální 10" xfId="37"/>
    <cellStyle name="Normální 11" xfId="38"/>
    <cellStyle name="Normální 12" xfId="39"/>
    <cellStyle name="Normální 13" xfId="40"/>
    <cellStyle name="Normální 14" xfId="41"/>
    <cellStyle name="normální 14 2" xfId="42"/>
    <cellStyle name="Normální 15" xfId="75"/>
    <cellStyle name="Normální 2" xfId="2"/>
    <cellStyle name="Normální 2 2" xfId="43"/>
    <cellStyle name="Normální 2 3" xfId="44"/>
    <cellStyle name="normální 2 5" xfId="45"/>
    <cellStyle name="Normální 3" xfId="3"/>
    <cellStyle name="Normální 4" xfId="46"/>
    <cellStyle name="Normální 5" xfId="47"/>
    <cellStyle name="normální 5 2" xfId="48"/>
    <cellStyle name="Normální 6" xfId="49"/>
    <cellStyle name="Normální 7" xfId="50"/>
    <cellStyle name="Normální 8" xfId="51"/>
    <cellStyle name="Normální 9" xfId="52"/>
    <cellStyle name="normální_jelinek_20040120" xfId="53"/>
    <cellStyle name="normální_List1" xfId="79"/>
    <cellStyle name="normální_ppp" xfId="54"/>
    <cellStyle name="Percent 2" xfId="55"/>
    <cellStyle name="Percent 2 2" xfId="78"/>
    <cellStyle name="Poznámka 2" xfId="56"/>
    <cellStyle name="Procenta" xfId="1" builtinId="5"/>
    <cellStyle name="Procenta 2" xfId="57"/>
    <cellStyle name="Procenta 3" xfId="58"/>
    <cellStyle name="Procenta 3 2" xfId="59"/>
    <cellStyle name="Procenta 4" xfId="73"/>
    <cellStyle name="Propojená buňka 2" xfId="60"/>
    <cellStyle name="Správně 2" xfId="61"/>
    <cellStyle name="Text upozornění 2" xfId="62"/>
    <cellStyle name="Vstup 2" xfId="63"/>
    <cellStyle name="Výpočet 2" xfId="64"/>
    <cellStyle name="Výstup 2" xfId="65"/>
    <cellStyle name="Vysvětlující text 2" xfId="66"/>
    <cellStyle name="Zvýraznění 1 2" xfId="67"/>
    <cellStyle name="Zvýraznění 2 2" xfId="68"/>
    <cellStyle name="Zvýraznění 3 2" xfId="69"/>
    <cellStyle name="Zvýraznění 4 2" xfId="70"/>
    <cellStyle name="Zvýraznění 5 2" xfId="71"/>
    <cellStyle name="Zvýraznění 6 2" xfId="72"/>
  </cellStyles>
  <dxfs count="0"/>
  <tableStyles count="0" defaultTableStyle="TableStyleMedium2" defaultPivotStyle="PivotStyleLight16"/>
  <colors>
    <mruColors>
      <color rgb="FFCCFFFF"/>
      <color rgb="FFFFFF99"/>
      <color rgb="FFC2E59B"/>
      <color rgb="FFCCE9AD"/>
      <color rgb="FFFF6161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114300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029200" cy="6949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8" name="AutoShape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42</xdr:row>
      <xdr:rowOff>114300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238750" cy="701421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01%20Budov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V%20UK\Rozpo&#269;et\2018%20ROZPO&#268;ET\N&#225;vrh%20rozpo&#269;tu%202018\N&#225;vrh%20rozpo&#269;tu%20d&#283;kan&#225;t\Vzor%20tabulky_rozpo&#269;et%20d&#283;kan&#225;t%201000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1111_OV_n&#225;vrh_provoz_agend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ZPO&#268;ET\2018%20AS%20cerven\Rozpo&#269;et%20fakulta\100101%20Budov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07_PR_n&#225;vrh_provoz_2018_20_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Celofakultn&#237;%20aktivity%20+%20CVI%20+%20CJP-CD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30%20CJ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70_SVI_fakulta-2018-18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80%20IT%202018-3-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90_FZS_2018-2-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icenemcovatejkalova\Downloads\Rozpo&#269;et%20fakulta\100198%20fakul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01"/>
      <sheetName val="Provoz souhrn"/>
      <sheetName val="Hollar"/>
      <sheetName val="Opletalova"/>
      <sheetName val="Jinonice"/>
      <sheetName val="Krystal "/>
      <sheetName val="Celetná"/>
      <sheetName val="Staroměstské náměstí"/>
      <sheetName val="Fakulta "/>
      <sheetName val="Rozpočet oprav FSV"/>
    </sheetNames>
    <sheetDataSet>
      <sheetData sheetId="0" refreshError="1"/>
      <sheetData sheetId="1" refreshError="1"/>
      <sheetData sheetId="2" refreshError="1">
        <row r="27">
          <cell r="C27">
            <v>100000</v>
          </cell>
        </row>
        <row r="28">
          <cell r="C28">
            <v>114000</v>
          </cell>
        </row>
        <row r="29">
          <cell r="C29">
            <v>1107000</v>
          </cell>
        </row>
        <row r="30">
          <cell r="C30">
            <v>198000</v>
          </cell>
        </row>
        <row r="31">
          <cell r="C31">
            <v>690000</v>
          </cell>
        </row>
        <row r="32">
          <cell r="C32">
            <v>0</v>
          </cell>
        </row>
      </sheetData>
      <sheetData sheetId="3" refreshError="1">
        <row r="27">
          <cell r="C27">
            <v>50000</v>
          </cell>
        </row>
        <row r="28">
          <cell r="C28">
            <v>56000</v>
          </cell>
        </row>
        <row r="29">
          <cell r="C29">
            <v>533000</v>
          </cell>
        </row>
        <row r="30">
          <cell r="C30">
            <v>250000</v>
          </cell>
        </row>
        <row r="31">
          <cell r="C31">
            <v>496000</v>
          </cell>
        </row>
        <row r="32">
          <cell r="C32">
            <v>0</v>
          </cell>
        </row>
      </sheetData>
      <sheetData sheetId="4" refreshError="1"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96000</v>
          </cell>
        </row>
        <row r="21">
          <cell r="C21">
            <v>0</v>
          </cell>
        </row>
        <row r="22">
          <cell r="C22">
            <v>3345000</v>
          </cell>
        </row>
      </sheetData>
      <sheetData sheetId="5" refreshError="1">
        <row r="13">
          <cell r="C13">
            <v>5000</v>
          </cell>
        </row>
        <row r="15">
          <cell r="C15">
            <v>60000</v>
          </cell>
        </row>
        <row r="16">
          <cell r="C16">
            <v>100</v>
          </cell>
        </row>
        <row r="17">
          <cell r="C17">
            <v>0</v>
          </cell>
        </row>
        <row r="18">
          <cell r="C18">
            <v>338000</v>
          </cell>
        </row>
      </sheetData>
      <sheetData sheetId="6" refreshError="1">
        <row r="12">
          <cell r="C12">
            <v>400000</v>
          </cell>
        </row>
      </sheetData>
      <sheetData sheetId="7" refreshError="1">
        <row r="11">
          <cell r="C11">
            <v>11000</v>
          </cell>
        </row>
        <row r="13">
          <cell r="C13">
            <v>0</v>
          </cell>
        </row>
        <row r="14">
          <cell r="C14">
            <v>353500</v>
          </cell>
        </row>
      </sheetData>
      <sheetData sheetId="8" refreshError="1">
        <row r="19">
          <cell r="C19">
            <v>6000</v>
          </cell>
        </row>
        <row r="21">
          <cell r="C21">
            <v>75000</v>
          </cell>
        </row>
        <row r="22">
          <cell r="C22">
            <v>262600</v>
          </cell>
        </row>
        <row r="23">
          <cell r="C23">
            <v>322000</v>
          </cell>
        </row>
      </sheetData>
      <sheetData sheetId="9" refreshError="1">
        <row r="54">
          <cell r="C54">
            <v>56000</v>
          </cell>
        </row>
        <row r="56">
          <cell r="C56">
            <v>717600</v>
          </cell>
        </row>
        <row r="57">
          <cell r="C57">
            <v>17000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10 vedoucí"/>
      <sheetName val="100010 - mzdy"/>
      <sheetName val="Rozpočet navýšení"/>
    </sheetNames>
    <sheetDataSet>
      <sheetData sheetId="0" refreshError="1"/>
      <sheetData sheetId="1">
        <row r="14">
          <cell r="C14">
            <v>0</v>
          </cell>
        </row>
        <row r="18">
          <cell r="C18">
            <v>0</v>
          </cell>
        </row>
        <row r="24">
          <cell r="C24">
            <v>0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111_OV"/>
      <sheetName val="101111_OV podrobně"/>
    </sheetNames>
    <sheetDataSet>
      <sheetData sheetId="0"/>
      <sheetData sheetId="1">
        <row r="3">
          <cell r="D3">
            <v>0</v>
          </cell>
        </row>
        <row r="7">
          <cell r="D7">
            <v>0</v>
          </cell>
        </row>
        <row r="9">
          <cell r="D9">
            <v>4500</v>
          </cell>
        </row>
        <row r="10">
          <cell r="D10">
            <v>300</v>
          </cell>
        </row>
        <row r="12">
          <cell r="D12">
            <v>4000</v>
          </cell>
        </row>
        <row r="13">
          <cell r="D13">
            <v>60000</v>
          </cell>
        </row>
        <row r="14">
          <cell r="D14">
            <v>15000</v>
          </cell>
        </row>
        <row r="15">
          <cell r="D15">
            <v>20000</v>
          </cell>
        </row>
        <row r="16">
          <cell r="D16">
            <v>94500</v>
          </cell>
        </row>
        <row r="17">
          <cell r="D17">
            <v>120000</v>
          </cell>
        </row>
        <row r="19">
          <cell r="D19">
            <v>45000</v>
          </cell>
        </row>
        <row r="20">
          <cell r="D20">
            <v>18000</v>
          </cell>
        </row>
        <row r="22">
          <cell r="D22">
            <v>5000</v>
          </cell>
        </row>
        <row r="23">
          <cell r="D23">
            <v>25000</v>
          </cell>
        </row>
        <row r="24">
          <cell r="D24">
            <v>20000</v>
          </cell>
        </row>
        <row r="25">
          <cell r="D25">
            <v>0</v>
          </cell>
        </row>
        <row r="26">
          <cell r="D26">
            <v>21420</v>
          </cell>
        </row>
        <row r="31">
          <cell r="D31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01"/>
      <sheetName val="Provoz souhrn"/>
      <sheetName val="Hollar"/>
      <sheetName val="Opletalova"/>
      <sheetName val="Jinonice"/>
      <sheetName val="Krystal "/>
      <sheetName val="Celetná"/>
      <sheetName val="Staroměstské náměstí"/>
      <sheetName val="Fakulta "/>
      <sheetName val="Rozpočet oprav FSV"/>
    </sheetNames>
    <sheetDataSet>
      <sheetData sheetId="0"/>
      <sheetData sheetId="1"/>
      <sheetData sheetId="2">
        <row r="27">
          <cell r="C27">
            <v>100000</v>
          </cell>
        </row>
      </sheetData>
      <sheetData sheetId="3">
        <row r="27">
          <cell r="C27">
            <v>50000</v>
          </cell>
        </row>
      </sheetData>
      <sheetData sheetId="4">
        <row r="17">
          <cell r="C17">
            <v>0</v>
          </cell>
        </row>
      </sheetData>
      <sheetData sheetId="5">
        <row r="13">
          <cell r="C13">
            <v>5000</v>
          </cell>
        </row>
      </sheetData>
      <sheetData sheetId="6">
        <row r="12">
          <cell r="C12">
            <v>400000</v>
          </cell>
        </row>
      </sheetData>
      <sheetData sheetId="7">
        <row r="11">
          <cell r="C11">
            <v>11000</v>
          </cell>
        </row>
      </sheetData>
      <sheetData sheetId="8">
        <row r="16">
          <cell r="C16">
            <v>665600</v>
          </cell>
        </row>
      </sheetData>
      <sheetData sheetId="9">
        <row r="54">
          <cell r="C54">
            <v>56000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07_PR"/>
      <sheetName val="100107_PR podrobně"/>
      <sheetName val="799"/>
      <sheetName val="513"/>
    </sheetNames>
    <sheetDataSet>
      <sheetData sheetId="0"/>
      <sheetData sheetId="1">
        <row r="3">
          <cell r="D3">
            <v>46440</v>
          </cell>
        </row>
        <row r="4">
          <cell r="D4">
            <v>14227</v>
          </cell>
        </row>
        <row r="5">
          <cell r="D5">
            <v>5000</v>
          </cell>
        </row>
        <row r="6">
          <cell r="D6">
            <v>3000</v>
          </cell>
        </row>
        <row r="7">
          <cell r="D7">
            <v>25000</v>
          </cell>
        </row>
        <row r="8">
          <cell r="D8">
            <v>15000</v>
          </cell>
        </row>
        <row r="9">
          <cell r="D9">
            <v>10000</v>
          </cell>
        </row>
        <row r="10">
          <cell r="D10">
            <v>7000</v>
          </cell>
        </row>
        <row r="11">
          <cell r="D11">
            <v>28000</v>
          </cell>
        </row>
        <row r="12">
          <cell r="D12">
            <v>50000</v>
          </cell>
        </row>
        <row r="13">
          <cell r="D13">
            <v>25000</v>
          </cell>
        </row>
        <row r="14">
          <cell r="D14">
            <v>10000</v>
          </cell>
        </row>
        <row r="15">
          <cell r="D15">
            <v>5000</v>
          </cell>
        </row>
        <row r="16">
          <cell r="D16">
            <v>2273</v>
          </cell>
        </row>
        <row r="17">
          <cell r="D17">
            <v>2029</v>
          </cell>
        </row>
        <row r="18">
          <cell r="D18">
            <v>8000</v>
          </cell>
        </row>
        <row r="19">
          <cell r="D19">
            <v>13281</v>
          </cell>
        </row>
        <row r="23">
          <cell r="D23">
            <v>3000</v>
          </cell>
        </row>
        <row r="24">
          <cell r="D24">
            <v>21000</v>
          </cell>
        </row>
        <row r="25">
          <cell r="D25">
            <v>6500</v>
          </cell>
        </row>
        <row r="26">
          <cell r="D26">
            <v>250000</v>
          </cell>
        </row>
        <row r="27">
          <cell r="D27">
            <v>0</v>
          </cell>
        </row>
        <row r="29">
          <cell r="D29">
            <v>10890</v>
          </cell>
        </row>
        <row r="30">
          <cell r="D30">
            <v>6200</v>
          </cell>
        </row>
        <row r="31">
          <cell r="D31">
            <v>20000</v>
          </cell>
        </row>
        <row r="33">
          <cell r="D33">
            <v>5929</v>
          </cell>
        </row>
        <row r="34">
          <cell r="D34">
            <v>34410</v>
          </cell>
        </row>
        <row r="35">
          <cell r="D35">
            <v>10000</v>
          </cell>
        </row>
        <row r="36">
          <cell r="D36">
            <v>49973</v>
          </cell>
        </row>
        <row r="37">
          <cell r="D37">
            <v>13310</v>
          </cell>
        </row>
        <row r="38">
          <cell r="D38">
            <v>17250</v>
          </cell>
        </row>
        <row r="39">
          <cell r="D39">
            <v>5885</v>
          </cell>
        </row>
        <row r="40">
          <cell r="D40">
            <v>5000</v>
          </cell>
        </row>
        <row r="41">
          <cell r="D41">
            <v>53240</v>
          </cell>
        </row>
        <row r="42">
          <cell r="D42">
            <v>27000</v>
          </cell>
        </row>
        <row r="43">
          <cell r="D43">
            <v>108900</v>
          </cell>
        </row>
        <row r="44">
          <cell r="D44">
            <v>75000</v>
          </cell>
        </row>
        <row r="45">
          <cell r="D45">
            <v>9000</v>
          </cell>
        </row>
        <row r="46">
          <cell r="D46">
            <v>21296</v>
          </cell>
        </row>
        <row r="47">
          <cell r="D47">
            <v>12100</v>
          </cell>
        </row>
        <row r="48">
          <cell r="D48">
            <v>11737</v>
          </cell>
        </row>
        <row r="49">
          <cell r="D49">
            <v>58080</v>
          </cell>
        </row>
        <row r="50">
          <cell r="D50">
            <v>100000</v>
          </cell>
        </row>
        <row r="51">
          <cell r="D51">
            <v>21780</v>
          </cell>
        </row>
        <row r="52">
          <cell r="D52">
            <v>10000</v>
          </cell>
        </row>
        <row r="53">
          <cell r="D53">
            <v>40000</v>
          </cell>
        </row>
        <row r="54">
          <cell r="D54">
            <v>7000</v>
          </cell>
        </row>
        <row r="55">
          <cell r="D55">
            <v>7000</v>
          </cell>
        </row>
        <row r="56">
          <cell r="D56">
            <v>5000</v>
          </cell>
        </row>
        <row r="57">
          <cell r="D57">
            <v>21000</v>
          </cell>
        </row>
        <row r="58">
          <cell r="D58">
            <v>20000</v>
          </cell>
        </row>
        <row r="59">
          <cell r="D59">
            <v>6000</v>
          </cell>
        </row>
        <row r="60">
          <cell r="D60">
            <v>20000</v>
          </cell>
        </row>
        <row r="61">
          <cell r="D61">
            <v>15000</v>
          </cell>
        </row>
        <row r="62">
          <cell r="D62">
            <v>20000</v>
          </cell>
        </row>
        <row r="63">
          <cell r="D63">
            <v>30000</v>
          </cell>
        </row>
        <row r="64">
          <cell r="D64">
            <v>40000</v>
          </cell>
        </row>
        <row r="65">
          <cell r="D65">
            <v>15000</v>
          </cell>
        </row>
        <row r="66">
          <cell r="D66">
            <v>5000</v>
          </cell>
        </row>
        <row r="67">
          <cell r="D67">
            <v>10000</v>
          </cell>
        </row>
        <row r="68">
          <cell r="D68">
            <v>20000</v>
          </cell>
        </row>
        <row r="69">
          <cell r="D69">
            <v>50000</v>
          </cell>
        </row>
        <row r="70">
          <cell r="D70">
            <v>25000</v>
          </cell>
        </row>
        <row r="71">
          <cell r="D71">
            <v>2000</v>
          </cell>
        </row>
        <row r="72">
          <cell r="D72">
            <v>50000</v>
          </cell>
        </row>
        <row r="73">
          <cell r="D73">
            <v>30000</v>
          </cell>
        </row>
        <row r="74">
          <cell r="D74">
            <v>15000</v>
          </cell>
        </row>
        <row r="75">
          <cell r="D75">
            <v>15000</v>
          </cell>
        </row>
        <row r="76">
          <cell r="D76">
            <v>23500</v>
          </cell>
        </row>
        <row r="77">
          <cell r="D77">
            <v>50000</v>
          </cell>
        </row>
        <row r="78">
          <cell r="D78">
            <v>3000</v>
          </cell>
        </row>
        <row r="79">
          <cell r="D79">
            <v>3000</v>
          </cell>
        </row>
        <row r="80">
          <cell r="D80">
            <v>10000</v>
          </cell>
        </row>
        <row r="81">
          <cell r="D81">
            <v>6000</v>
          </cell>
        </row>
        <row r="82">
          <cell r="D82">
            <v>15000</v>
          </cell>
        </row>
        <row r="83">
          <cell r="D83">
            <v>8000</v>
          </cell>
        </row>
        <row r="84">
          <cell r="D84">
            <v>5000</v>
          </cell>
        </row>
        <row r="85">
          <cell r="D85">
            <v>10000</v>
          </cell>
        </row>
        <row r="86">
          <cell r="D86">
            <v>10000</v>
          </cell>
        </row>
        <row r="87">
          <cell r="D87">
            <v>65000</v>
          </cell>
        </row>
        <row r="88">
          <cell r="D88">
            <v>500000</v>
          </cell>
        </row>
        <row r="89">
          <cell r="D89">
            <v>25000</v>
          </cell>
        </row>
        <row r="90">
          <cell r="D90">
            <v>8000</v>
          </cell>
        </row>
        <row r="91">
          <cell r="D91">
            <v>0</v>
          </cell>
        </row>
        <row r="96">
          <cell r="D96">
            <v>150000</v>
          </cell>
        </row>
        <row r="97">
          <cell r="D97">
            <v>27000</v>
          </cell>
        </row>
        <row r="98">
          <cell r="D98">
            <v>70000</v>
          </cell>
        </row>
        <row r="99">
          <cell r="D99">
            <v>10000</v>
          </cell>
        </row>
        <row r="100">
          <cell r="D100">
            <v>18000</v>
          </cell>
        </row>
        <row r="101">
          <cell r="D101">
            <v>10000</v>
          </cell>
        </row>
        <row r="102">
          <cell r="D102">
            <v>10000</v>
          </cell>
        </row>
        <row r="105">
          <cell r="D105">
            <v>25000</v>
          </cell>
        </row>
        <row r="106">
          <cell r="D106">
            <v>18000</v>
          </cell>
        </row>
        <row r="107">
          <cell r="D107">
            <v>11495</v>
          </cell>
        </row>
        <row r="108">
          <cell r="D108">
            <v>1744</v>
          </cell>
        </row>
        <row r="109">
          <cell r="D109">
            <v>872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ofakultní aktivity"/>
      <sheetName val="100101"/>
      <sheetName val="100106 studentské peníze"/>
      <sheetName val="100107_PR"/>
      <sheetName val="100030 CVI"/>
      <sheetName val="100030 mzdy"/>
      <sheetName val="100140 CJP"/>
      <sheetName val="100140 mzdy"/>
      <sheetName val="100170 CVI"/>
      <sheetName val="100180 IT"/>
      <sheetName val="100190_FZS"/>
      <sheetName val="100198 fakulta"/>
      <sheetName val="101040 personáloddělení fakulta"/>
      <sheetName val="101100 prostř děkana"/>
      <sheetName val="101101 zlaté kurzy"/>
      <sheetName val="101107 CDS"/>
      <sheetName val="101111_OV"/>
      <sheetName val="101117 SO"/>
      <sheetName val="600690 VaVpI"/>
      <sheetName val="600691 VaVpI"/>
    </sheetNames>
    <sheetDataSet>
      <sheetData sheetId="0"/>
      <sheetData sheetId="1"/>
      <sheetData sheetId="2"/>
      <sheetData sheetId="3"/>
      <sheetData sheetId="4"/>
      <sheetData sheetId="5">
        <row r="20">
          <cell r="C20">
            <v>3228555.0000000005</v>
          </cell>
        </row>
        <row r="28">
          <cell r="C28">
            <v>82250</v>
          </cell>
        </row>
        <row r="33">
          <cell r="C33">
            <v>52800</v>
          </cell>
        </row>
        <row r="38">
          <cell r="C38">
            <v>40000</v>
          </cell>
        </row>
      </sheetData>
      <sheetData sheetId="6"/>
      <sheetData sheetId="7">
        <row r="21">
          <cell r="D21">
            <v>4709161.875</v>
          </cell>
        </row>
        <row r="45">
          <cell r="C45">
            <v>294450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30 CJP"/>
      <sheetName val="100130 mzdy"/>
    </sheetNames>
    <sheetDataSet>
      <sheetData sheetId="0"/>
      <sheetData sheetId="1">
        <row r="25">
          <cell r="C25">
            <v>21000</v>
          </cell>
        </row>
        <row r="30">
          <cell r="C30">
            <v>240000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70 CVI"/>
      <sheetName val="100170_SVI_podrobně"/>
    </sheetNames>
    <sheetDataSet>
      <sheetData sheetId="0" refreshError="1"/>
      <sheetData sheetId="1">
        <row r="3">
          <cell r="D3">
            <v>70000</v>
          </cell>
        </row>
        <row r="4">
          <cell r="D4">
            <v>500000</v>
          </cell>
        </row>
        <row r="5">
          <cell r="D5">
            <v>100000</v>
          </cell>
        </row>
        <row r="23">
          <cell r="D23">
            <v>87120</v>
          </cell>
        </row>
        <row r="25">
          <cell r="D25">
            <v>34086</v>
          </cell>
        </row>
        <row r="26">
          <cell r="D26">
            <v>20047</v>
          </cell>
        </row>
        <row r="28">
          <cell r="D28">
            <v>22687</v>
          </cell>
        </row>
        <row r="29">
          <cell r="D29">
            <v>12100</v>
          </cell>
        </row>
        <row r="30">
          <cell r="D30">
            <v>36300</v>
          </cell>
        </row>
        <row r="31">
          <cell r="D31">
            <v>60000</v>
          </cell>
        </row>
        <row r="32">
          <cell r="D32">
            <v>5740</v>
          </cell>
        </row>
        <row r="33">
          <cell r="D33">
            <v>5000</v>
          </cell>
        </row>
        <row r="34">
          <cell r="D34">
            <v>1916000</v>
          </cell>
        </row>
        <row r="35">
          <cell r="D35">
            <v>120000</v>
          </cell>
        </row>
        <row r="36">
          <cell r="D36">
            <v>70000</v>
          </cell>
        </row>
        <row r="39">
          <cell r="D39">
            <v>15000</v>
          </cell>
        </row>
        <row r="40">
          <cell r="D40">
            <v>60000</v>
          </cell>
        </row>
        <row r="41">
          <cell r="D41">
            <v>20000</v>
          </cell>
        </row>
        <row r="52">
          <cell r="D52">
            <v>2000</v>
          </cell>
        </row>
        <row r="57">
          <cell r="D57">
            <v>60000</v>
          </cell>
        </row>
        <row r="58">
          <cell r="D58">
            <v>305996</v>
          </cell>
        </row>
        <row r="59">
          <cell r="D59">
            <v>111523</v>
          </cell>
        </row>
        <row r="60">
          <cell r="D60">
            <v>1770940</v>
          </cell>
        </row>
        <row r="61">
          <cell r="D61">
            <v>1000</v>
          </cell>
        </row>
        <row r="62">
          <cell r="D62">
            <v>400000</v>
          </cell>
        </row>
        <row r="66">
          <cell r="D66">
            <v>143000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80 IT"/>
      <sheetName val="100180 - detaily - plán 2018"/>
      <sheetName val="FRIM100180"/>
    </sheetNames>
    <sheetDataSet>
      <sheetData sheetId="0">
        <row r="9">
          <cell r="F9">
            <v>645000</v>
          </cell>
        </row>
        <row r="11">
          <cell r="F11">
            <v>0</v>
          </cell>
        </row>
      </sheetData>
      <sheetData sheetId="1">
        <row r="5">
          <cell r="G5">
            <v>821615.9</v>
          </cell>
        </row>
        <row r="59">
          <cell r="G59">
            <v>164100</v>
          </cell>
        </row>
        <row r="65">
          <cell r="G65">
            <v>363260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90_FZS"/>
      <sheetName val="512"/>
      <sheetName val="513"/>
      <sheetName val="518"/>
      <sheetName val="549"/>
      <sheetName val="799"/>
    </sheetNames>
    <sheetDataSet>
      <sheetData sheetId="0"/>
      <sheetData sheetId="1">
        <row r="21">
          <cell r="B21">
            <v>40000</v>
          </cell>
        </row>
      </sheetData>
      <sheetData sheetId="2">
        <row r="21">
          <cell r="B21">
            <v>10000</v>
          </cell>
        </row>
      </sheetData>
      <sheetData sheetId="3">
        <row r="21">
          <cell r="B21">
            <v>302000</v>
          </cell>
        </row>
      </sheetData>
      <sheetData sheetId="4">
        <row r="21">
          <cell r="B21">
            <v>300000</v>
          </cell>
        </row>
      </sheetData>
      <sheetData sheetId="5">
        <row r="21">
          <cell r="B21">
            <v>100000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98 fakulta"/>
      <sheetName val="100198 podrobně"/>
    </sheetNames>
    <sheetDataSet>
      <sheetData sheetId="0" refreshError="1"/>
      <sheetData sheetId="1" refreshError="1">
        <row r="7">
          <cell r="F7">
            <v>0</v>
          </cell>
        </row>
        <row r="10">
          <cell r="F10">
            <v>30000</v>
          </cell>
        </row>
        <row r="12">
          <cell r="F12">
            <v>0</v>
          </cell>
        </row>
        <row r="13">
          <cell r="F13">
            <v>12000</v>
          </cell>
        </row>
        <row r="16">
          <cell r="F16">
            <v>0</v>
          </cell>
        </row>
        <row r="23">
          <cell r="F23">
            <v>631500</v>
          </cell>
        </row>
        <row r="24">
          <cell r="F24">
            <v>300000</v>
          </cell>
        </row>
        <row r="30">
          <cell r="F30">
            <v>1000000</v>
          </cell>
        </row>
        <row r="33">
          <cell r="F33">
            <v>3900000</v>
          </cell>
        </row>
        <row r="34">
          <cell r="F34">
            <v>4000</v>
          </cell>
        </row>
        <row r="35">
          <cell r="F35">
            <v>0</v>
          </cell>
        </row>
        <row r="36">
          <cell r="F36">
            <v>0</v>
          </cell>
        </row>
        <row r="42">
          <cell r="F42">
            <v>4500</v>
          </cell>
        </row>
        <row r="44">
          <cell r="F44">
            <v>104500</v>
          </cell>
        </row>
        <row r="47">
          <cell r="F47">
            <v>5470888</v>
          </cell>
        </row>
        <row r="48">
          <cell r="F48">
            <v>60000</v>
          </cell>
        </row>
        <row r="51">
          <cell r="F51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161"/>
    <pageSetUpPr fitToPage="1"/>
  </sheetPr>
  <dimension ref="A1:I49"/>
  <sheetViews>
    <sheetView workbookViewId="0">
      <selection activeCell="F29" sqref="F29"/>
    </sheetView>
  </sheetViews>
  <sheetFormatPr defaultColWidth="16.7109375" defaultRowHeight="15" customHeight="1"/>
  <cols>
    <col min="1" max="1" width="36.7109375" style="240" bestFit="1" customWidth="1"/>
    <col min="2" max="2" width="7.7109375" style="240" bestFit="1" customWidth="1"/>
    <col min="3" max="8" width="9" style="240" customWidth="1"/>
    <col min="9" max="9" width="7.42578125" style="239" customWidth="1"/>
    <col min="10" max="16384" width="16.7109375" style="240"/>
  </cols>
  <sheetData>
    <row r="1" spans="1:9" ht="16.5" customHeight="1">
      <c r="A1" s="238" t="s">
        <v>580</v>
      </c>
      <c r="B1" s="380"/>
      <c r="C1" s="660" t="s">
        <v>512</v>
      </c>
      <c r="D1" s="661"/>
      <c r="E1" s="662"/>
      <c r="F1" s="663" t="s">
        <v>531</v>
      </c>
      <c r="G1" s="661"/>
      <c r="H1" s="662"/>
    </row>
    <row r="2" spans="1:9" ht="12.75" customHeight="1">
      <c r="A2" s="664" t="s">
        <v>278</v>
      </c>
      <c r="B2" s="666" t="s">
        <v>279</v>
      </c>
      <c r="C2" s="668" t="s">
        <v>280</v>
      </c>
      <c r="D2" s="670" t="s">
        <v>281</v>
      </c>
      <c r="E2" s="658" t="s">
        <v>43</v>
      </c>
      <c r="F2" s="672" t="s">
        <v>280</v>
      </c>
      <c r="G2" s="670" t="s">
        <v>281</v>
      </c>
      <c r="H2" s="658" t="s">
        <v>43</v>
      </c>
    </row>
    <row r="3" spans="1:9" ht="20.25" customHeight="1" thickBot="1">
      <c r="A3" s="665"/>
      <c r="B3" s="667"/>
      <c r="C3" s="669"/>
      <c r="D3" s="671"/>
      <c r="E3" s="659"/>
      <c r="F3" s="673"/>
      <c r="G3" s="671"/>
      <c r="H3" s="659"/>
    </row>
    <row r="4" spans="1:9" ht="20.25" customHeight="1" thickBot="1">
      <c r="A4" s="445" t="s">
        <v>282</v>
      </c>
      <c r="B4" s="446"/>
      <c r="C4" s="447"/>
      <c r="D4" s="448"/>
      <c r="E4" s="449"/>
      <c r="F4" s="450"/>
      <c r="G4" s="448"/>
      <c r="H4" s="449"/>
      <c r="I4" s="381" t="s">
        <v>283</v>
      </c>
    </row>
    <row r="5" spans="1:9" ht="13.15" customHeight="1" thickTop="1">
      <c r="A5" s="410" t="s">
        <v>284</v>
      </c>
      <c r="B5" s="411">
        <v>501</v>
      </c>
      <c r="C5" s="412">
        <f>10096.05751-C6</f>
        <v>8027.5321500000009</v>
      </c>
      <c r="D5" s="413">
        <v>424.93853999999999</v>
      </c>
      <c r="E5" s="414">
        <f t="shared" ref="E5:E20" si="0">SUM(C5:D5)</f>
        <v>8452.4706900000001</v>
      </c>
      <c r="F5" s="415">
        <v>8500</v>
      </c>
      <c r="G5" s="413">
        <v>400</v>
      </c>
      <c r="H5" s="416">
        <f t="shared" ref="H5:H20" si="1">SUM(F5:G5)</f>
        <v>8900</v>
      </c>
      <c r="I5" s="417">
        <f>-1+H5/E5</f>
        <v>5.2946567508298514E-2</v>
      </c>
    </row>
    <row r="6" spans="1:9" ht="13.15" customHeight="1">
      <c r="A6" s="241" t="s">
        <v>285</v>
      </c>
      <c r="B6" s="382">
        <v>502</v>
      </c>
      <c r="C6" s="383">
        <v>2068.5253600000001</v>
      </c>
      <c r="D6" s="384">
        <v>0</v>
      </c>
      <c r="E6" s="385">
        <f t="shared" si="0"/>
        <v>2068.5253600000001</v>
      </c>
      <c r="F6" s="386">
        <v>1800</v>
      </c>
      <c r="G6" s="384">
        <v>0</v>
      </c>
      <c r="H6" s="387">
        <f t="shared" si="1"/>
        <v>1800</v>
      </c>
      <c r="I6" s="388">
        <f t="shared" ref="I6:I39" si="2">-1+H6/E6</f>
        <v>-0.12981487449590667</v>
      </c>
    </row>
    <row r="7" spans="1:9" ht="13.15" customHeight="1">
      <c r="A7" s="271" t="s">
        <v>286</v>
      </c>
      <c r="B7" s="418">
        <v>504</v>
      </c>
      <c r="C7" s="419">
        <v>0</v>
      </c>
      <c r="D7" s="420">
        <v>52.044229999999999</v>
      </c>
      <c r="E7" s="421">
        <f t="shared" si="0"/>
        <v>52.044229999999999</v>
      </c>
      <c r="F7" s="422">
        <v>0</v>
      </c>
      <c r="G7" s="420">
        <v>0</v>
      </c>
      <c r="H7" s="423"/>
      <c r="I7" s="424"/>
    </row>
    <row r="8" spans="1:9" ht="13.15" customHeight="1">
      <c r="A8" s="241" t="s">
        <v>287</v>
      </c>
      <c r="B8" s="382">
        <v>511</v>
      </c>
      <c r="C8" s="383">
        <v>1984.87357</v>
      </c>
      <c r="D8" s="384">
        <v>8.0099499999999999</v>
      </c>
      <c r="E8" s="385">
        <f t="shared" si="0"/>
        <v>1992.8835199999999</v>
      </c>
      <c r="F8" s="386">
        <v>9600</v>
      </c>
      <c r="G8" s="384">
        <v>10</v>
      </c>
      <c r="H8" s="387">
        <f t="shared" si="1"/>
        <v>9610</v>
      </c>
      <c r="I8" s="388">
        <f t="shared" si="2"/>
        <v>3.8221583968941646</v>
      </c>
    </row>
    <row r="9" spans="1:9" ht="13.15" customHeight="1">
      <c r="A9" s="271" t="s">
        <v>288</v>
      </c>
      <c r="B9" s="418">
        <v>512</v>
      </c>
      <c r="C9" s="419">
        <v>6614.4516400000002</v>
      </c>
      <c r="D9" s="420">
        <v>47.396529999999998</v>
      </c>
      <c r="E9" s="421">
        <f t="shared" si="0"/>
        <v>6661.8481700000002</v>
      </c>
      <c r="F9" s="422">
        <v>7800</v>
      </c>
      <c r="G9" s="420">
        <v>50</v>
      </c>
      <c r="H9" s="423">
        <f t="shared" si="1"/>
        <v>7850</v>
      </c>
      <c r="I9" s="424">
        <f t="shared" si="2"/>
        <v>0.1783516825481779</v>
      </c>
    </row>
    <row r="10" spans="1:9" ht="13.15" customHeight="1">
      <c r="A10" s="241" t="s">
        <v>289</v>
      </c>
      <c r="B10" s="382">
        <v>513</v>
      </c>
      <c r="C10" s="383">
        <v>901.58005000000003</v>
      </c>
      <c r="D10" s="384">
        <v>389.57035000000002</v>
      </c>
      <c r="E10" s="385">
        <f t="shared" si="0"/>
        <v>1291.1504</v>
      </c>
      <c r="F10" s="386">
        <v>902</v>
      </c>
      <c r="G10" s="384">
        <v>390</v>
      </c>
      <c r="H10" s="387">
        <f t="shared" si="1"/>
        <v>1292</v>
      </c>
      <c r="I10" s="388">
        <f t="shared" si="2"/>
        <v>6.5801784207319969E-4</v>
      </c>
    </row>
    <row r="11" spans="1:9" ht="13.15" customHeight="1">
      <c r="A11" s="271" t="s">
        <v>290</v>
      </c>
      <c r="B11" s="418">
        <v>518</v>
      </c>
      <c r="C11" s="419">
        <v>27974.323789999999</v>
      </c>
      <c r="D11" s="420">
        <v>465.90294</v>
      </c>
      <c r="E11" s="421">
        <f t="shared" si="0"/>
        <v>28440.226729999998</v>
      </c>
      <c r="F11" s="422">
        <v>30400</v>
      </c>
      <c r="G11" s="420">
        <v>500</v>
      </c>
      <c r="H11" s="423">
        <f t="shared" si="1"/>
        <v>30900</v>
      </c>
      <c r="I11" s="424">
        <f t="shared" si="2"/>
        <v>8.6489228561786646E-2</v>
      </c>
    </row>
    <row r="12" spans="1:9" ht="13.15" customHeight="1">
      <c r="A12" s="241" t="s">
        <v>1</v>
      </c>
      <c r="B12" s="382">
        <v>521</v>
      </c>
      <c r="C12" s="383">
        <v>182445.15299999999</v>
      </c>
      <c r="D12" s="384">
        <v>1581.2460000000001</v>
      </c>
      <c r="E12" s="385">
        <f t="shared" si="0"/>
        <v>184026.399</v>
      </c>
      <c r="F12" s="386">
        <v>185000</v>
      </c>
      <c r="G12" s="384">
        <v>1600</v>
      </c>
      <c r="H12" s="387">
        <f t="shared" si="1"/>
        <v>186600</v>
      </c>
      <c r="I12" s="388">
        <f t="shared" si="2"/>
        <v>1.3984955495434104E-2</v>
      </c>
    </row>
    <row r="13" spans="1:9" ht="13.15" customHeight="1">
      <c r="A13" s="271" t="s">
        <v>291</v>
      </c>
      <c r="B13" s="418">
        <v>524</v>
      </c>
      <c r="C13" s="419">
        <v>57221.428169999999</v>
      </c>
      <c r="D13" s="420">
        <v>530.62300000000005</v>
      </c>
      <c r="E13" s="421">
        <f t="shared" si="0"/>
        <v>57752.051169999999</v>
      </c>
      <c r="F13" s="422">
        <v>60125</v>
      </c>
      <c r="G13" s="420">
        <v>520</v>
      </c>
      <c r="H13" s="423">
        <f t="shared" si="1"/>
        <v>60645</v>
      </c>
      <c r="I13" s="424">
        <f t="shared" si="2"/>
        <v>5.0092572841859084E-2</v>
      </c>
    </row>
    <row r="14" spans="1:9" ht="13.15" customHeight="1">
      <c r="A14" s="241" t="s">
        <v>292</v>
      </c>
      <c r="B14" s="382" t="s">
        <v>293</v>
      </c>
      <c r="C14" s="383">
        <f>1086.55406+5309.6145</f>
        <v>6396.1685600000001</v>
      </c>
      <c r="D14" s="384">
        <v>5.66</v>
      </c>
      <c r="E14" s="385">
        <f t="shared" si="0"/>
        <v>6401.8285599999999</v>
      </c>
      <c r="F14" s="386">
        <v>6600</v>
      </c>
      <c r="G14" s="384">
        <v>6</v>
      </c>
      <c r="H14" s="387">
        <f t="shared" si="1"/>
        <v>6606</v>
      </c>
      <c r="I14" s="388">
        <f t="shared" si="2"/>
        <v>3.1892675363990097E-2</v>
      </c>
    </row>
    <row r="15" spans="1:9" ht="13.15" customHeight="1">
      <c r="A15" s="271" t="s">
        <v>294</v>
      </c>
      <c r="B15" s="418" t="s">
        <v>295</v>
      </c>
      <c r="C15" s="419">
        <v>3.7610000000000001</v>
      </c>
      <c r="D15" s="420">
        <v>0</v>
      </c>
      <c r="E15" s="421">
        <f t="shared" si="0"/>
        <v>3.7610000000000001</v>
      </c>
      <c r="F15" s="422">
        <v>4</v>
      </c>
      <c r="G15" s="420">
        <v>0</v>
      </c>
      <c r="H15" s="423">
        <f t="shared" si="1"/>
        <v>4</v>
      </c>
      <c r="I15" s="424">
        <f t="shared" si="2"/>
        <v>6.3546929008242437E-2</v>
      </c>
    </row>
    <row r="16" spans="1:9" ht="13.15" customHeight="1">
      <c r="A16" s="241" t="s">
        <v>296</v>
      </c>
      <c r="B16" s="382" t="s">
        <v>297</v>
      </c>
      <c r="C16" s="383">
        <v>76553.356289999996</v>
      </c>
      <c r="D16" s="384">
        <v>777.94831999999997</v>
      </c>
      <c r="E16" s="385">
        <f t="shared" si="0"/>
        <v>77331.304609999992</v>
      </c>
      <c r="F16" s="386">
        <v>86500</v>
      </c>
      <c r="G16" s="384">
        <v>800</v>
      </c>
      <c r="H16" s="387">
        <f t="shared" si="1"/>
        <v>87300</v>
      </c>
      <c r="I16" s="388">
        <f t="shared" si="2"/>
        <v>0.12890892556739453</v>
      </c>
    </row>
    <row r="17" spans="1:9" ht="13.15" customHeight="1">
      <c r="A17" s="271" t="s">
        <v>298</v>
      </c>
      <c r="B17" s="418">
        <v>551</v>
      </c>
      <c r="C17" s="419">
        <v>5915.7630799999997</v>
      </c>
      <c r="D17" s="420">
        <v>0</v>
      </c>
      <c r="E17" s="421">
        <f t="shared" si="0"/>
        <v>5915.7630799999997</v>
      </c>
      <c r="F17" s="422">
        <v>5470.8879999999999</v>
      </c>
      <c r="G17" s="420">
        <v>0</v>
      </c>
      <c r="H17" s="423">
        <f t="shared" si="1"/>
        <v>5470.8879999999999</v>
      </c>
      <c r="I17" s="424">
        <f t="shared" si="2"/>
        <v>-7.5201639075782589E-2</v>
      </c>
    </row>
    <row r="18" spans="1:9" ht="13.15" customHeight="1">
      <c r="A18" s="241" t="s">
        <v>299</v>
      </c>
      <c r="B18" s="382">
        <v>559</v>
      </c>
      <c r="C18" s="383">
        <v>0</v>
      </c>
      <c r="D18" s="384">
        <v>0</v>
      </c>
      <c r="E18" s="385">
        <f t="shared" si="0"/>
        <v>0</v>
      </c>
      <c r="F18" s="386">
        <v>0</v>
      </c>
      <c r="G18" s="384">
        <v>0</v>
      </c>
      <c r="H18" s="387">
        <f t="shared" si="1"/>
        <v>0</v>
      </c>
      <c r="I18" s="388"/>
    </row>
    <row r="19" spans="1:9" ht="13.15" customHeight="1">
      <c r="A19" s="271" t="s">
        <v>300</v>
      </c>
      <c r="B19" s="418">
        <v>591.59500000000003</v>
      </c>
      <c r="C19" s="419">
        <v>58</v>
      </c>
      <c r="D19" s="420">
        <v>0</v>
      </c>
      <c r="E19" s="421">
        <f t="shared" si="0"/>
        <v>58</v>
      </c>
      <c r="F19" s="422">
        <v>60</v>
      </c>
      <c r="G19" s="420">
        <v>0</v>
      </c>
      <c r="H19" s="423">
        <f t="shared" si="1"/>
        <v>60</v>
      </c>
      <c r="I19" s="424">
        <f t="shared" si="2"/>
        <v>3.4482758620689724E-2</v>
      </c>
    </row>
    <row r="20" spans="1:9" ht="13.15" customHeight="1">
      <c r="A20" s="241" t="s">
        <v>301</v>
      </c>
      <c r="B20" s="382" t="s">
        <v>302</v>
      </c>
      <c r="C20" s="383">
        <v>8938.4050700000007</v>
      </c>
      <c r="D20" s="384">
        <v>30</v>
      </c>
      <c r="E20" s="385">
        <f t="shared" si="0"/>
        <v>8968.4050700000007</v>
      </c>
      <c r="F20" s="386">
        <v>9500</v>
      </c>
      <c r="G20" s="384">
        <v>140</v>
      </c>
      <c r="H20" s="387">
        <f t="shared" si="1"/>
        <v>9640</v>
      </c>
      <c r="I20" s="388">
        <f t="shared" si="2"/>
        <v>7.4884544660737351E-2</v>
      </c>
    </row>
    <row r="21" spans="1:9" ht="13.15" customHeight="1">
      <c r="A21" s="271" t="s">
        <v>303</v>
      </c>
      <c r="B21" s="418" t="s">
        <v>304</v>
      </c>
      <c r="C21" s="419">
        <f t="shared" ref="C21:H21" si="3">SUM(C5:C20)</f>
        <v>385103.32173000003</v>
      </c>
      <c r="D21" s="420">
        <f t="shared" si="3"/>
        <v>4313.33986</v>
      </c>
      <c r="E21" s="421">
        <f t="shared" si="3"/>
        <v>389416.66158999997</v>
      </c>
      <c r="F21" s="422">
        <f t="shared" si="3"/>
        <v>412261.88799999998</v>
      </c>
      <c r="G21" s="420">
        <f t="shared" si="3"/>
        <v>4416</v>
      </c>
      <c r="H21" s="423">
        <f t="shared" si="3"/>
        <v>416677.88799999998</v>
      </c>
      <c r="I21" s="424">
        <f t="shared" si="2"/>
        <v>7.0005290217145744E-2</v>
      </c>
    </row>
    <row r="22" spans="1:9" ht="13.15" customHeight="1">
      <c r="A22" s="241"/>
      <c r="B22" s="382"/>
      <c r="C22" s="389"/>
      <c r="D22" s="390"/>
      <c r="E22" s="391"/>
      <c r="F22" s="392"/>
      <c r="G22" s="390"/>
      <c r="H22" s="382"/>
      <c r="I22" s="388"/>
    </row>
    <row r="23" spans="1:9" ht="20.25" customHeight="1" thickBot="1">
      <c r="A23" s="445" t="s">
        <v>305</v>
      </c>
      <c r="B23" s="446"/>
      <c r="C23" s="447"/>
      <c r="D23" s="448"/>
      <c r="E23" s="449"/>
      <c r="F23" s="450"/>
      <c r="G23" s="448"/>
      <c r="H23" s="446"/>
      <c r="I23" s="451"/>
    </row>
    <row r="24" spans="1:9" ht="13.15" customHeight="1" thickTop="1">
      <c r="A24" s="410" t="s">
        <v>306</v>
      </c>
      <c r="B24" s="411">
        <v>601</v>
      </c>
      <c r="C24" s="412">
        <v>0</v>
      </c>
      <c r="D24" s="413">
        <v>0</v>
      </c>
      <c r="E24" s="414">
        <f t="shared" ref="E24:E31" si="4">SUM(C24:D24)</f>
        <v>0</v>
      </c>
      <c r="F24" s="415"/>
      <c r="G24" s="413"/>
      <c r="H24" s="416">
        <f t="shared" ref="H24:H31" si="5">SUM(F24:G24)</f>
        <v>0</v>
      </c>
      <c r="I24" s="417"/>
    </row>
    <row r="25" spans="1:9" ht="13.15" customHeight="1">
      <c r="A25" s="241" t="s">
        <v>307</v>
      </c>
      <c r="B25" s="382">
        <v>602</v>
      </c>
      <c r="C25" s="383">
        <v>52648.31093</v>
      </c>
      <c r="D25" s="384">
        <f>3239.27435-D26</f>
        <v>3118.8411800000003</v>
      </c>
      <c r="E25" s="385">
        <f t="shared" si="4"/>
        <v>55767.152110000003</v>
      </c>
      <c r="F25" s="386">
        <v>51000</v>
      </c>
      <c r="G25" s="384">
        <v>3308</v>
      </c>
      <c r="H25" s="387">
        <f t="shared" si="5"/>
        <v>54308</v>
      </c>
      <c r="I25" s="388">
        <f t="shared" si="2"/>
        <v>-2.6165082038291043E-2</v>
      </c>
    </row>
    <row r="26" spans="1:9" ht="13.15" customHeight="1">
      <c r="A26" s="271" t="s">
        <v>308</v>
      </c>
      <c r="B26" s="418">
        <v>604</v>
      </c>
      <c r="C26" s="419">
        <v>0</v>
      </c>
      <c r="D26" s="420">
        <v>120.43317</v>
      </c>
      <c r="E26" s="421">
        <f t="shared" si="4"/>
        <v>120.43317</v>
      </c>
      <c r="F26" s="422">
        <v>0</v>
      </c>
      <c r="G26" s="420">
        <v>0</v>
      </c>
      <c r="H26" s="423">
        <f t="shared" si="5"/>
        <v>0</v>
      </c>
      <c r="I26" s="424"/>
    </row>
    <row r="27" spans="1:9" ht="13.15" customHeight="1">
      <c r="A27" s="241" t="s">
        <v>309</v>
      </c>
      <c r="B27" s="382" t="s">
        <v>310</v>
      </c>
      <c r="C27" s="383">
        <v>36132.527260000003</v>
      </c>
      <c r="D27" s="384">
        <v>3.8812099999999998</v>
      </c>
      <c r="E27" s="385">
        <f t="shared" si="4"/>
        <v>36136.408470000002</v>
      </c>
      <c r="F27" s="386">
        <f>627.55+9471.945+6612.788+19400</f>
        <v>36112.282999999996</v>
      </c>
      <c r="G27" s="384">
        <v>4</v>
      </c>
      <c r="H27" s="387">
        <f t="shared" si="5"/>
        <v>36116.282999999996</v>
      </c>
      <c r="I27" s="388">
        <f t="shared" si="2"/>
        <v>-5.5693055431105254E-4</v>
      </c>
    </row>
    <row r="28" spans="1:9" ht="13.15" customHeight="1">
      <c r="A28" s="271" t="s">
        <v>311</v>
      </c>
      <c r="B28" s="418">
        <v>652</v>
      </c>
      <c r="C28" s="419">
        <v>10.32227</v>
      </c>
      <c r="D28" s="420">
        <v>0</v>
      </c>
      <c r="E28" s="421"/>
      <c r="F28" s="422">
        <v>0</v>
      </c>
      <c r="G28" s="420">
        <v>0</v>
      </c>
      <c r="H28" s="423">
        <f>F28+G28</f>
        <v>0</v>
      </c>
      <c r="I28" s="424"/>
    </row>
    <row r="29" spans="1:9" ht="13.15" customHeight="1">
      <c r="A29" s="241" t="s">
        <v>312</v>
      </c>
      <c r="B29" s="382">
        <v>691</v>
      </c>
      <c r="C29" s="383">
        <v>289742.39872</v>
      </c>
      <c r="D29" s="384">
        <v>0</v>
      </c>
      <c r="E29" s="385">
        <f t="shared" si="4"/>
        <v>289742.39872</v>
      </c>
      <c r="F29" s="386">
        <f>255066.517+4419+9173+6570+44364.936</f>
        <v>319593.45299999998</v>
      </c>
      <c r="G29" s="384">
        <v>0</v>
      </c>
      <c r="H29" s="387">
        <f t="shared" si="5"/>
        <v>319593.45299999998</v>
      </c>
      <c r="I29" s="388">
        <f t="shared" si="2"/>
        <v>0.1030261860600088</v>
      </c>
    </row>
    <row r="30" spans="1:9" ht="20.25" customHeight="1">
      <c r="A30" s="425" t="s">
        <v>313</v>
      </c>
      <c r="B30" s="418">
        <v>692</v>
      </c>
      <c r="C30" s="419">
        <v>4168.31682</v>
      </c>
      <c r="D30" s="420">
        <v>0</v>
      </c>
      <c r="E30" s="421">
        <f t="shared" si="4"/>
        <v>4168.31682</v>
      </c>
      <c r="F30" s="422">
        <v>3600</v>
      </c>
      <c r="G30" s="420">
        <v>0</v>
      </c>
      <c r="H30" s="423">
        <f t="shared" si="5"/>
        <v>3600</v>
      </c>
      <c r="I30" s="426">
        <f t="shared" si="2"/>
        <v>-0.13634204033464037</v>
      </c>
    </row>
    <row r="31" spans="1:9" ht="13.15" customHeight="1">
      <c r="A31" s="241" t="s">
        <v>314</v>
      </c>
      <c r="B31" s="382" t="s">
        <v>315</v>
      </c>
      <c r="C31" s="383">
        <v>3000</v>
      </c>
      <c r="D31" s="384">
        <v>1104.5880400000001</v>
      </c>
      <c r="E31" s="385">
        <f t="shared" si="4"/>
        <v>4104.5880400000005</v>
      </c>
      <c r="F31" s="386">
        <v>2000</v>
      </c>
      <c r="G31" s="384">
        <v>1105</v>
      </c>
      <c r="H31" s="387">
        <f t="shared" si="5"/>
        <v>3105</v>
      </c>
      <c r="I31" s="393">
        <f t="shared" si="2"/>
        <v>-0.24352944321301495</v>
      </c>
    </row>
    <row r="32" spans="1:9" ht="13.15" customHeight="1">
      <c r="A32" s="271" t="s">
        <v>316</v>
      </c>
      <c r="B32" s="418" t="s">
        <v>317</v>
      </c>
      <c r="C32" s="419">
        <f t="shared" ref="C32:H32" si="6">SUM(C24:C31)</f>
        <v>385701.87599999999</v>
      </c>
      <c r="D32" s="420">
        <f t="shared" si="6"/>
        <v>4347.7435999999998</v>
      </c>
      <c r="E32" s="421">
        <f t="shared" si="6"/>
        <v>390039.29732999997</v>
      </c>
      <c r="F32" s="422">
        <f t="shared" si="6"/>
        <v>412305.73599999998</v>
      </c>
      <c r="G32" s="420">
        <f t="shared" si="6"/>
        <v>4417</v>
      </c>
      <c r="H32" s="423">
        <f t="shared" si="6"/>
        <v>416722.73599999998</v>
      </c>
      <c r="I32" s="424">
        <f t="shared" si="2"/>
        <v>6.8412180138412992E-2</v>
      </c>
    </row>
    <row r="33" spans="1:9" ht="13.15" customHeight="1">
      <c r="A33" s="241"/>
      <c r="B33" s="382"/>
      <c r="C33" s="389"/>
      <c r="D33" s="390"/>
      <c r="E33" s="391"/>
      <c r="F33" s="392"/>
      <c r="G33" s="390"/>
      <c r="H33" s="382"/>
      <c r="I33" s="388"/>
    </row>
    <row r="34" spans="1:9" ht="13.15" customHeight="1">
      <c r="A34" s="436" t="s">
        <v>318</v>
      </c>
      <c r="B34" s="437" t="s">
        <v>317</v>
      </c>
      <c r="C34" s="438">
        <f>+C32</f>
        <v>385701.87599999999</v>
      </c>
      <c r="D34" s="439">
        <f>+D32</f>
        <v>4347.7435999999998</v>
      </c>
      <c r="E34" s="440">
        <f>SUM(C34,D34)</f>
        <v>390049.61959999998</v>
      </c>
      <c r="F34" s="441">
        <f>+F32</f>
        <v>412305.73599999998</v>
      </c>
      <c r="G34" s="439">
        <f>+G32</f>
        <v>4417</v>
      </c>
      <c r="H34" s="442">
        <f>SUM(F34,G34)</f>
        <v>416722.73599999998</v>
      </c>
      <c r="I34" s="443">
        <f t="shared" si="2"/>
        <v>6.8383905687059876E-2</v>
      </c>
    </row>
    <row r="35" spans="1:9" ht="13.15" customHeight="1">
      <c r="A35" s="436" t="s">
        <v>319</v>
      </c>
      <c r="B35" s="437" t="s">
        <v>304</v>
      </c>
      <c r="C35" s="438">
        <f>+C21</f>
        <v>385103.32173000003</v>
      </c>
      <c r="D35" s="439">
        <f>+D21</f>
        <v>4313.33986</v>
      </c>
      <c r="E35" s="440">
        <f>SUM(C35,D35)</f>
        <v>389416.66159000003</v>
      </c>
      <c r="F35" s="441">
        <f>+F21</f>
        <v>412261.88799999998</v>
      </c>
      <c r="G35" s="439">
        <f>+G21</f>
        <v>4416</v>
      </c>
      <c r="H35" s="442">
        <f>SUM(F35,G35)</f>
        <v>416677.88799999998</v>
      </c>
      <c r="I35" s="443">
        <f t="shared" si="2"/>
        <v>7.0005290217145744E-2</v>
      </c>
    </row>
    <row r="36" spans="1:9" ht="13.15" customHeight="1">
      <c r="A36" s="436" t="s">
        <v>320</v>
      </c>
      <c r="B36" s="437" t="s">
        <v>321</v>
      </c>
      <c r="C36" s="438">
        <f>C34-C35</f>
        <v>598.55426999996416</v>
      </c>
      <c r="D36" s="438">
        <f>D34-D35</f>
        <v>34.403739999999743</v>
      </c>
      <c r="E36" s="440">
        <f>SUM(C36:D36)</f>
        <v>632.95800999996391</v>
      </c>
      <c r="F36" s="441">
        <f>SUM(F34-F35)</f>
        <v>43.847999999998137</v>
      </c>
      <c r="G36" s="439">
        <f>+G34-G35</f>
        <v>1</v>
      </c>
      <c r="H36" s="442">
        <f>+H34-H35</f>
        <v>44.847999999998137</v>
      </c>
      <c r="I36" s="444">
        <f t="shared" si="2"/>
        <v>-0.92914537885380311</v>
      </c>
    </row>
    <row r="37" spans="1:9" ht="13.15" customHeight="1">
      <c r="A37" s="241"/>
      <c r="B37" s="382"/>
      <c r="C37" s="389"/>
      <c r="D37" s="390"/>
      <c r="E37" s="391"/>
      <c r="F37" s="392"/>
      <c r="G37" s="390"/>
      <c r="H37" s="382"/>
      <c r="I37" s="388"/>
    </row>
    <row r="38" spans="1:9" ht="13.15" customHeight="1">
      <c r="A38" s="271" t="s">
        <v>322</v>
      </c>
      <c r="B38" s="427" t="s">
        <v>323</v>
      </c>
      <c r="C38" s="419">
        <v>2472.5983200000001</v>
      </c>
      <c r="D38" s="420"/>
      <c r="E38" s="421">
        <f>SUM(C38:D38)</f>
        <v>2472.5983200000001</v>
      </c>
      <c r="F38" s="422"/>
      <c r="G38" s="420"/>
      <c r="H38" s="423">
        <f>F38+G38</f>
        <v>0</v>
      </c>
      <c r="I38" s="424">
        <f t="shared" si="2"/>
        <v>-1</v>
      </c>
    </row>
    <row r="39" spans="1:9" ht="13.15" customHeight="1" thickBot="1">
      <c r="A39" s="428" t="s">
        <v>324</v>
      </c>
      <c r="B39" s="429" t="s">
        <v>325</v>
      </c>
      <c r="C39" s="430">
        <v>2472.5983200000001</v>
      </c>
      <c r="D39" s="431"/>
      <c r="E39" s="432">
        <f>SUM(C39:D39)</f>
        <v>2472.5983200000001</v>
      </c>
      <c r="F39" s="433"/>
      <c r="G39" s="431"/>
      <c r="H39" s="434">
        <f>F39+G39</f>
        <v>0</v>
      </c>
      <c r="I39" s="435">
        <f t="shared" si="2"/>
        <v>-1</v>
      </c>
    </row>
    <row r="40" spans="1:9" ht="9"/>
    <row r="41" spans="1:9" ht="12.75" customHeight="1"/>
    <row r="42" spans="1:9" ht="12.75" customHeight="1"/>
    <row r="43" spans="1:9" ht="12.75" customHeight="1"/>
    <row r="47" spans="1:9" ht="15" customHeight="1">
      <c r="I47" s="240"/>
    </row>
    <row r="48" spans="1:9" ht="15" customHeight="1">
      <c r="I48" s="240"/>
    </row>
    <row r="49" spans="9:9" ht="15" customHeight="1">
      <c r="I49" s="240"/>
    </row>
  </sheetData>
  <mergeCells count="10">
    <mergeCell ref="H2:H3"/>
    <mergeCell ref="C1:E1"/>
    <mergeCell ref="F1:H1"/>
    <mergeCell ref="A2:A3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  <pageSetup paperSize="9" scale="92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0"/>
  <sheetViews>
    <sheetView zoomScaleNormal="100" workbookViewId="0">
      <selection activeCell="D20" sqref="D20"/>
    </sheetView>
  </sheetViews>
  <sheetFormatPr defaultColWidth="8.7109375" defaultRowHeight="10.15" customHeight="1"/>
  <cols>
    <col min="1" max="1" width="5.42578125" style="234" customWidth="1"/>
    <col min="2" max="2" width="33.42578125" style="234" customWidth="1"/>
    <col min="3" max="3" width="6.42578125" style="234" customWidth="1"/>
    <col min="4" max="4" width="14.28515625" style="234" customWidth="1"/>
    <col min="5" max="5" width="79.140625" style="234" customWidth="1"/>
    <col min="6" max="20" width="8" style="234" customWidth="1"/>
    <col min="21" max="16384" width="8.7109375" style="234"/>
  </cols>
  <sheetData>
    <row r="1" spans="1:7" ht="15" customHeight="1">
      <c r="A1" s="621" t="s">
        <v>2</v>
      </c>
      <c r="B1" s="622" t="s">
        <v>3</v>
      </c>
      <c r="C1" s="622" t="s">
        <v>4</v>
      </c>
      <c r="D1" s="622" t="s">
        <v>5</v>
      </c>
      <c r="E1" s="623" t="s">
        <v>47</v>
      </c>
    </row>
    <row r="2" spans="1:7" ht="15" customHeight="1">
      <c r="A2" s="474" t="s">
        <v>6</v>
      </c>
      <c r="B2" s="480" t="s">
        <v>7</v>
      </c>
      <c r="C2" s="474"/>
      <c r="D2" s="476">
        <f>'100101'!E2+'100101'!E3+'100106 studentské peníze'!E3+'100107_PR'!D2+'100030 CVI'!D3+'100140 CJP'!D2+'100170 CVI'!D2+'100180 IT'!E3+'100198 fakulta'!E3+'101040 personáloddělení fakulta'!D3+'101117 SO'!D2</f>
        <v>2753865.9</v>
      </c>
      <c r="E2" s="647"/>
      <c r="F2" s="235"/>
      <c r="G2" s="235"/>
    </row>
    <row r="3" spans="1:7" ht="15" customHeight="1">
      <c r="A3" s="481" t="s">
        <v>8</v>
      </c>
      <c r="B3" s="481" t="s">
        <v>9</v>
      </c>
      <c r="C3" s="481"/>
      <c r="D3" s="482">
        <f>'100101'!E4</f>
        <v>1800000</v>
      </c>
      <c r="E3" s="646">
        <v>100101</v>
      </c>
      <c r="F3" s="235"/>
      <c r="G3" s="235"/>
    </row>
    <row r="4" spans="1:7" ht="15" customHeight="1">
      <c r="A4" s="481" t="s">
        <v>10</v>
      </c>
      <c r="B4" s="481" t="s">
        <v>11</v>
      </c>
      <c r="C4" s="481"/>
      <c r="D4" s="482">
        <f>'100101'!E5+'100140 CJP'!D4+'100180 IT'!E5+'100198 fakulta'!E5</f>
        <v>9489700</v>
      </c>
      <c r="E4" s="646" t="s">
        <v>876</v>
      </c>
      <c r="F4" s="235"/>
      <c r="G4" s="235"/>
    </row>
    <row r="5" spans="1:7" ht="15" customHeight="1">
      <c r="A5" s="481" t="s">
        <v>12</v>
      </c>
      <c r="B5" s="481" t="s">
        <v>13</v>
      </c>
      <c r="C5" s="481"/>
      <c r="D5" s="482">
        <f>'100101'!E6+'100106 studentské peníze'!E6+'100107_PR'!D5+'100030 CVI'!D6+'100140 CJP'!D5+'100170 CVI'!D5+'100180 IT'!E6+'100190_FZS'!D2+'100198 fakulta'!E6+'101040 personáloddělení fakulta'!D6+'101100 prostř děkana'!E6+'101101 zlaté kurzy'!D5+'101111_OV'!D5+'101117 SO'!D5+'600690 VaVpI'!E6+'600691 VaVpI'!E6</f>
        <v>380500</v>
      </c>
      <c r="E5" s="648" t="s">
        <v>878</v>
      </c>
      <c r="F5" s="235"/>
      <c r="G5" s="235"/>
    </row>
    <row r="6" spans="1:7" ht="15" customHeight="1">
      <c r="A6" s="481" t="s">
        <v>14</v>
      </c>
      <c r="B6" s="481" t="s">
        <v>15</v>
      </c>
      <c r="C6" s="481"/>
      <c r="D6" s="482">
        <v>165890</v>
      </c>
      <c r="E6" s="646" t="s">
        <v>879</v>
      </c>
      <c r="F6" s="235"/>
      <c r="G6" s="235"/>
    </row>
    <row r="7" spans="1:7" ht="15" customHeight="1">
      <c r="A7" s="481" t="s">
        <v>16</v>
      </c>
      <c r="B7" s="481" t="s">
        <v>17</v>
      </c>
      <c r="C7" s="481"/>
      <c r="D7" s="482">
        <f>'100101'!E8+'100101'!E9+'100106 studentské peníze'!E8+'100106 studentské peníze'!E9+'100107_PR'!D7+'100030 CVI'!D8+'100140 CJP'!D7+'100170 CVI'!D7+'100180 IT'!E8+'100180 IT'!E9+'100190_FZS'!D4+'100198 fakulta'!E8+'100198 fakulta'!E9+'101040 personáloddělení fakulta'!D9+'101040 personáloddělení fakulta'!D8+'101100 prostř děkana'!E9+'101100 prostř děkana'!E8+'101101 zlaté kurzy'!D7+'101111_OV'!D7+'101117 SO'!D7+'600690 VaVpI'!E9+'600690 VaVpI'!E8+'600691 VaVpI'!E9+'600691 VaVpI'!E8</f>
        <v>10102337</v>
      </c>
      <c r="E7" s="646"/>
      <c r="F7" s="235"/>
      <c r="G7" s="235"/>
    </row>
    <row r="8" spans="1:7" ht="15" customHeight="1">
      <c r="A8" s="481" t="s">
        <v>18</v>
      </c>
      <c r="B8" s="481" t="s">
        <v>19</v>
      </c>
      <c r="C8" s="481"/>
      <c r="D8" s="482">
        <f>'100101'!E10+'100106 studentské peníze'!E10+'100107_PR'!D8+'100030 CVI'!D9+'100140 CJP'!D8+'100170 CVI'!D8+'100180 IT'!E10+'100198 fakulta'!E10+'101040 personáloddělení fakulta'!D10+'101100 prostř děkana'!E10+'101101 zlaté kurzy'!D8+'101111_OV'!D8+'101117 SO'!D8+'600690 VaVpI'!E10+'600691 VaVpI'!E10</f>
        <v>9316771.875</v>
      </c>
      <c r="E8" s="646" t="s">
        <v>872</v>
      </c>
      <c r="F8" s="235"/>
      <c r="G8" s="235"/>
    </row>
    <row r="9" spans="1:7" ht="15" customHeight="1">
      <c r="A9" s="479">
        <v>521</v>
      </c>
      <c r="B9" s="481" t="s">
        <v>20</v>
      </c>
      <c r="C9" s="481"/>
      <c r="D9" s="482">
        <f>'100101'!E10+'100106 studentské peníze'!E11+'100107_PR'!D9+'100030 CVI'!D10+'100140 CJP'!D9+'100170 CVI'!D9+'100180 IT'!E11+'100198 fakulta'!E11+'101040 personáloddělení fakulta'!D11+'101100 prostř děkana'!E11+'101101 zlaté kurzy'!D9+'101111_OV'!D9+'101117 SO'!D9+'600690 VaVpI'!E11+'600691 VaVpI'!E11</f>
        <v>153250</v>
      </c>
      <c r="E9" s="646" t="s">
        <v>873</v>
      </c>
      <c r="F9" s="235"/>
      <c r="G9" s="235"/>
    </row>
    <row r="10" spans="1:7" ht="15" customHeight="1">
      <c r="A10" s="479">
        <v>521</v>
      </c>
      <c r="B10" s="481" t="s">
        <v>21</v>
      </c>
      <c r="C10" s="481"/>
      <c r="D10" s="482">
        <f>'100101'!E12+'100106 studentské peníze'!E12+'100107_PR'!D10+'100030 CVI'!D11+'100140 CJP'!D10+'100170 CVI'!D10+'100180 IT'!E12+'100198 fakulta'!E12+'101040 personáloddělení fakulta'!D12+'101100 prostř děkana'!E12+'101101 zlaté kurzy'!D10+'101111_OV'!D10+'101117 SO'!D10+'600690 VaVpI'!E12+'600691 VaVpI'!E12</f>
        <v>292800</v>
      </c>
      <c r="E10" s="646"/>
      <c r="F10" s="235"/>
      <c r="G10" s="235"/>
    </row>
    <row r="11" spans="1:7" ht="15" customHeight="1">
      <c r="A11" s="481" t="s">
        <v>22</v>
      </c>
      <c r="B11" s="481" t="s">
        <v>23</v>
      </c>
      <c r="C11" s="484">
        <v>0.34</v>
      </c>
      <c r="D11" s="482">
        <f>'100101'!E13+'100101'!E14+'100106 studentské peníze'!E13+'100106 studentské peníze'!E14+'100107_PR'!D11+'100030 CVI'!D12+'100030 CVI'!D13+'100140 CJP'!D11+'100140 CJP'!D12+'100170 CVI'!D11+'100180 IT'!E13+'100180 IT'!E14+'100198 fakulta'!E13+'100198 fakulta'!E14+'101040 personáloddělení fakulta'!D13+'101040 personáloddělení fakulta'!D14+'101100 prostř děkana'!E13+'101100 prostř děkana'!E14+'101101 zlaté kurzy'!D11+'101101 zlaté kurzy'!D12+'101111_OV'!D11+'101117 SO'!D11+'600690 VaVpI'!E13+'600690 VaVpI'!E14+'600691 VaVpI'!E13+'600691 VaVpI'!E14</f>
        <v>3267254.4375000005</v>
      </c>
      <c r="E11" s="646"/>
      <c r="F11" s="235"/>
      <c r="G11" s="235"/>
    </row>
    <row r="12" spans="1:7" ht="15" customHeight="1">
      <c r="A12" s="481" t="s">
        <v>24</v>
      </c>
      <c r="B12" s="481" t="s">
        <v>25</v>
      </c>
      <c r="C12" s="484"/>
      <c r="D12" s="482">
        <f>'100101'!E15+'100106 studentské peníze'!E15+'100107_PR'!D12+'100030 CVI'!D14+'100140 CJP'!D13+'100170 CVI'!D12+'100180 IT'!E15+'100198 fakulta'!E15+'101040 personáloddělení fakulta'!D15+'101100 prostř děkana'!E15+'101101 zlaté kurzy'!D13+'101111_OV'!D12+'101117 SO'!D12+'600690 VaVpI'!E15+'600691 VaVpI'!E15</f>
        <v>1005195</v>
      </c>
      <c r="E12" s="646" t="s">
        <v>874</v>
      </c>
      <c r="F12" s="235"/>
      <c r="G12" s="235"/>
    </row>
    <row r="13" spans="1:7" ht="15" customHeight="1">
      <c r="A13" s="479">
        <v>528</v>
      </c>
      <c r="B13" s="481" t="s">
        <v>567</v>
      </c>
      <c r="C13" s="484"/>
      <c r="D13" s="482">
        <f>'100198 fakulta'!E16+'101040 personáloddělení fakulta'!D16</f>
        <v>3980000</v>
      </c>
      <c r="E13" s="646" t="s">
        <v>871</v>
      </c>
      <c r="F13" s="235"/>
      <c r="G13" s="235"/>
    </row>
    <row r="14" spans="1:7" ht="15" customHeight="1">
      <c r="A14" s="479">
        <v>531</v>
      </c>
      <c r="B14" s="481" t="s">
        <v>48</v>
      </c>
      <c r="C14" s="484"/>
      <c r="D14" s="482">
        <f>'100198 fakulta'!E17</f>
        <v>4000</v>
      </c>
      <c r="E14" s="646">
        <v>100198</v>
      </c>
      <c r="F14" s="235"/>
      <c r="G14" s="235"/>
    </row>
    <row r="15" spans="1:7" ht="15" customHeight="1">
      <c r="A15" s="479">
        <v>546</v>
      </c>
      <c r="B15" s="481" t="s">
        <v>513</v>
      </c>
      <c r="C15" s="484"/>
      <c r="D15" s="482">
        <f>'100106 studentské peníze'!E16</f>
        <v>45000</v>
      </c>
      <c r="E15" s="646">
        <v>100106</v>
      </c>
      <c r="F15" s="235"/>
      <c r="G15" s="235"/>
    </row>
    <row r="16" spans="1:7" ht="15" customHeight="1">
      <c r="A16" s="481" t="s">
        <v>26</v>
      </c>
      <c r="B16" s="481" t="s">
        <v>45</v>
      </c>
      <c r="C16" s="485">
        <v>1.4999999999999999E-2</v>
      </c>
      <c r="D16" s="482">
        <f>'100030 CVI'!D15+'100140 CJP'!D14+'100198 fakulta'!E20+'101100 prostř děkana'!E16+'101101 zlaté kurzy'!D14+'101111_OV'!D13</f>
        <v>139751.578125</v>
      </c>
      <c r="E16" s="646"/>
      <c r="F16" s="235"/>
      <c r="G16" s="235"/>
    </row>
    <row r="17" spans="1:7" ht="15" customHeight="1">
      <c r="A17" s="481"/>
      <c r="B17" s="481" t="s">
        <v>27</v>
      </c>
      <c r="C17" s="485"/>
      <c r="D17" s="482">
        <f>'100101'!E17+'100106 studentské peníze'!E18+'100107_PR'!D13+'100170 CVI'!D13+'100180 IT'!E17+'100190_FZS'!D5+'100198 fakulta'!E21+'101040 personáloddělení fakulta'!D18+'101100 prostř děkana'!E17+'101117 SO'!D13</f>
        <v>1109000</v>
      </c>
      <c r="E17" s="646"/>
      <c r="F17" s="235"/>
      <c r="G17" s="235"/>
    </row>
    <row r="18" spans="1:7" ht="15" customHeight="1">
      <c r="A18" s="479">
        <v>551</v>
      </c>
      <c r="B18" s="481" t="s">
        <v>44</v>
      </c>
      <c r="C18" s="485"/>
      <c r="D18" s="482">
        <f>'100198 fakulta'!E22</f>
        <v>5470888</v>
      </c>
      <c r="E18" s="646">
        <v>100198</v>
      </c>
      <c r="F18" s="235"/>
      <c r="G18" s="235"/>
    </row>
    <row r="19" spans="1:7" ht="15" customHeight="1">
      <c r="A19" s="479">
        <v>591</v>
      </c>
      <c r="B19" s="481" t="s">
        <v>514</v>
      </c>
      <c r="C19" s="485"/>
      <c r="D19" s="482">
        <f>'100198 fakulta'!E23</f>
        <v>60000</v>
      </c>
      <c r="E19" s="646">
        <v>100198</v>
      </c>
      <c r="F19" s="235"/>
      <c r="G19" s="235"/>
    </row>
    <row r="20" spans="1:7" ht="15" customHeight="1">
      <c r="A20" s="481" t="s">
        <v>28</v>
      </c>
      <c r="B20" s="481" t="s">
        <v>29</v>
      </c>
      <c r="C20" s="481"/>
      <c r="D20" s="482">
        <f>'100106 studentské peníze'!E22+'100140 CJP'!D15+'100170 CVI'!D17+'100190_FZS'!D11+'600691 VaVpI'!E20+'100198 fakulta'!E29</f>
        <v>4273833</v>
      </c>
      <c r="E20" s="483" t="s">
        <v>868</v>
      </c>
      <c r="F20" s="235"/>
      <c r="G20" s="235"/>
    </row>
    <row r="21" spans="1:7" ht="15" customHeight="1">
      <c r="A21" s="479">
        <v>648</v>
      </c>
      <c r="B21" s="481" t="s">
        <v>515</v>
      </c>
      <c r="C21" s="481"/>
      <c r="D21" s="482">
        <f>'100140 CJP'!D16+'100198 fakulta'!E30</f>
        <v>1376761.75</v>
      </c>
      <c r="E21" s="483" t="s">
        <v>869</v>
      </c>
      <c r="F21" s="235"/>
      <c r="G21" s="235"/>
    </row>
    <row r="22" spans="1:7" ht="15" customHeight="1">
      <c r="A22" s="481" t="s">
        <v>30</v>
      </c>
      <c r="B22" s="481" t="s">
        <v>31</v>
      </c>
      <c r="C22" s="481"/>
      <c r="D22" s="482">
        <f>'100198 fakulta'!E31</f>
        <v>9471945</v>
      </c>
      <c r="E22" s="646">
        <v>100198</v>
      </c>
      <c r="F22" s="235"/>
      <c r="G22" s="235"/>
    </row>
    <row r="23" spans="1:7" ht="15" customHeight="1">
      <c r="A23" s="479">
        <v>691</v>
      </c>
      <c r="B23" s="481" t="s">
        <v>46</v>
      </c>
      <c r="C23" s="481"/>
      <c r="D23" s="482">
        <f>'100198 fakulta'!E32</f>
        <v>896713</v>
      </c>
      <c r="E23" s="646">
        <v>100198</v>
      </c>
      <c r="F23" s="235"/>
      <c r="G23" s="235"/>
    </row>
    <row r="24" spans="1:7" ht="15" customHeight="1">
      <c r="A24" s="481" t="s">
        <v>32</v>
      </c>
      <c r="B24" s="481" t="s">
        <v>33</v>
      </c>
      <c r="C24" s="481"/>
      <c r="D24" s="482">
        <v>7744330</v>
      </c>
      <c r="E24" s="646" t="s">
        <v>877</v>
      </c>
      <c r="F24" s="235"/>
      <c r="G24" s="235"/>
    </row>
    <row r="25" spans="1:7" ht="15" customHeight="1" thickBot="1">
      <c r="A25" s="495" t="s">
        <v>34</v>
      </c>
      <c r="B25" s="481" t="s">
        <v>35</v>
      </c>
      <c r="C25" s="481"/>
      <c r="D25" s="482">
        <v>0</v>
      </c>
      <c r="E25" s="486"/>
      <c r="F25" s="235"/>
      <c r="G25" s="235"/>
    </row>
    <row r="26" spans="1:7" ht="15" customHeight="1">
      <c r="A26" s="587"/>
      <c r="B26" s="487" t="s">
        <v>36</v>
      </c>
      <c r="C26" s="624"/>
      <c r="D26" s="626">
        <f>SUM(D2:D19)+D24</f>
        <v>57280533.790624999</v>
      </c>
      <c r="E26" s="649">
        <f>'100101'!E19+'100106 studentské peníze'!E20+'100107_PR'!D15+'100030 CVI'!D20+'100140 CJP'!D19+'100170 CVI'!D15+'100180 IT'!E19+'100190_FZS'!D9+'100198 fakulta'!E25+'101040 personáloddělení fakulta'!D20+'101100 prostř děkana'!E19+'101101 zlaté kurzy'!D16+'101111_OV'!D18+'101117 SO'!D15+'600690 VaVpI'!E19</f>
        <v>57280533.790624999</v>
      </c>
    </row>
    <row r="27" spans="1:7" ht="15" customHeight="1" thickBot="1">
      <c r="A27" s="587"/>
      <c r="B27" s="496" t="s">
        <v>37</v>
      </c>
      <c r="C27" s="625"/>
      <c r="D27" s="627">
        <f>D20+D22+D25+D23+D21</f>
        <v>16019252.75</v>
      </c>
      <c r="E27" s="478"/>
    </row>
    <row r="30" spans="1:7" ht="10.15" customHeight="1">
      <c r="D30" s="235"/>
      <c r="E30" s="235"/>
    </row>
  </sheetData>
  <pageMargins left="0.7" right="0.7" top="0.78740157499999996" bottom="0.78740157499999996" header="0.3" footer="0.3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0"/>
  <sheetViews>
    <sheetView zoomScaleNormal="100" workbookViewId="0">
      <selection activeCell="C15" sqref="C15"/>
    </sheetView>
  </sheetViews>
  <sheetFormatPr defaultColWidth="8.7109375" defaultRowHeight="15"/>
  <cols>
    <col min="1" max="2" width="5.28515625" customWidth="1"/>
    <col min="3" max="3" width="44.7109375" bestFit="1" customWidth="1"/>
    <col min="4" max="4" width="7.140625" customWidth="1"/>
    <col min="5" max="5" width="18" bestFit="1" customWidth="1"/>
    <col min="6" max="6" width="57.28515625" customWidth="1"/>
    <col min="7" max="7" width="17.7109375" bestFit="1" customWidth="1"/>
    <col min="8" max="8" width="20.42578125" bestFit="1" customWidth="1"/>
  </cols>
  <sheetData>
    <row r="1" spans="1:8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8">
      <c r="A2" s="474" t="s">
        <v>6</v>
      </c>
      <c r="B2" s="475">
        <v>1305</v>
      </c>
      <c r="C2" s="474" t="s">
        <v>537</v>
      </c>
      <c r="D2" s="474"/>
      <c r="E2" s="476">
        <f>[1]Hollar!C27+[1]Opletalova!C27+15000</f>
        <v>165000</v>
      </c>
      <c r="F2" s="477"/>
      <c r="G2" s="478"/>
      <c r="H2" s="478"/>
    </row>
    <row r="3" spans="1:8">
      <c r="A3" s="479">
        <v>501</v>
      </c>
      <c r="B3" s="479">
        <v>1309</v>
      </c>
      <c r="C3" s="480" t="s">
        <v>7</v>
      </c>
      <c r="D3" s="481"/>
      <c r="E3" s="482">
        <f>[1]Hollar!C28+[1]Opletalova!C28+[1]Jinonice!C17+'[1]Krystal '!C13+'[1]Staroměstské náměstí'!C11+'[1]Fakulta '!C19+'[1]Rozpočet oprav FSV'!C54</f>
        <v>248000</v>
      </c>
      <c r="F3" s="483"/>
      <c r="G3" s="478"/>
      <c r="H3" s="478"/>
    </row>
    <row r="4" spans="1:8">
      <c r="A4" s="481" t="s">
        <v>8</v>
      </c>
      <c r="B4" s="479"/>
      <c r="C4" s="481" t="s">
        <v>9</v>
      </c>
      <c r="D4" s="481"/>
      <c r="E4" s="482">
        <f>160000+[1]Hollar!C29+[1]Opletalova!C29+[1]Jinonice!C18</f>
        <v>1800000</v>
      </c>
      <c r="F4" s="483"/>
      <c r="G4" s="478"/>
      <c r="H4" s="478"/>
    </row>
    <row r="5" spans="1:8">
      <c r="A5" s="481" t="s">
        <v>10</v>
      </c>
      <c r="B5" s="479"/>
      <c r="C5" s="481" t="s">
        <v>11</v>
      </c>
      <c r="D5" s="481"/>
      <c r="E5" s="482">
        <f>[1]Hollar!C30+[1]Opletalova!C30+[1]Jinonice!C19+'[1]Krystal '!C15+'[1]Staroměstské náměstí'!C13+'[1]Fakulta '!C21+'[1]Rozpočet oprav FSV'!C56</f>
        <v>1300600</v>
      </c>
      <c r="F5" s="483"/>
      <c r="G5" s="478"/>
      <c r="H5" s="478"/>
    </row>
    <row r="6" spans="1:8">
      <c r="A6" s="481" t="s">
        <v>12</v>
      </c>
      <c r="B6" s="479"/>
      <c r="C6" s="481" t="s">
        <v>13</v>
      </c>
      <c r="D6" s="481"/>
      <c r="E6" s="482">
        <v>0</v>
      </c>
      <c r="F6" s="483"/>
      <c r="G6" s="478"/>
      <c r="H6" s="478"/>
    </row>
    <row r="7" spans="1:8">
      <c r="A7" s="481" t="s">
        <v>14</v>
      </c>
      <c r="B7" s="479">
        <v>1401</v>
      </c>
      <c r="C7" s="481" t="s">
        <v>15</v>
      </c>
      <c r="D7" s="481"/>
      <c r="E7" s="482">
        <v>0</v>
      </c>
      <c r="F7" s="483"/>
      <c r="G7" s="478"/>
      <c r="H7" s="478"/>
    </row>
    <row r="8" spans="1:8">
      <c r="A8" s="481" t="s">
        <v>16</v>
      </c>
      <c r="B8" s="479">
        <v>1305</v>
      </c>
      <c r="C8" s="481" t="s">
        <v>538</v>
      </c>
      <c r="D8" s="481"/>
      <c r="E8" s="482">
        <v>0</v>
      </c>
      <c r="F8" s="483"/>
      <c r="G8" s="478"/>
      <c r="H8" s="478"/>
    </row>
    <row r="9" spans="1:8">
      <c r="A9" s="479">
        <v>518</v>
      </c>
      <c r="B9" s="479">
        <v>1314</v>
      </c>
      <c r="C9" s="481" t="s">
        <v>17</v>
      </c>
      <c r="D9" s="481"/>
      <c r="E9" s="482">
        <f>[1]Hollar!C31+[1]Opletalova!C31+[1]Jinonice!C20+'[1]Krystal '!C16+'[1]Staroměstské náměstí'!C14+'[1]Fakulta '!C22+'[1]Rozpočet oprav FSV'!C57</f>
        <v>1915200</v>
      </c>
      <c r="F9" s="483"/>
      <c r="G9" s="478"/>
      <c r="H9" s="478"/>
    </row>
    <row r="10" spans="1:8">
      <c r="A10" s="481" t="s">
        <v>18</v>
      </c>
      <c r="B10" s="479">
        <v>1301</v>
      </c>
      <c r="C10" s="481" t="s">
        <v>19</v>
      </c>
      <c r="D10" s="481"/>
      <c r="E10" s="482">
        <v>0</v>
      </c>
      <c r="F10" s="483"/>
      <c r="G10" s="478"/>
      <c r="H10" s="478"/>
    </row>
    <row r="11" spans="1:8">
      <c r="A11" s="479">
        <v>521</v>
      </c>
      <c r="B11" s="479">
        <v>1304</v>
      </c>
      <c r="C11" s="481" t="s">
        <v>20</v>
      </c>
      <c r="D11" s="481"/>
      <c r="E11" s="482">
        <v>0</v>
      </c>
      <c r="F11" s="483"/>
      <c r="G11" s="478"/>
      <c r="H11" s="478"/>
    </row>
    <row r="12" spans="1:8">
      <c r="A12" s="479">
        <v>521</v>
      </c>
      <c r="B12" s="479">
        <v>1304</v>
      </c>
      <c r="C12" s="481" t="s">
        <v>21</v>
      </c>
      <c r="D12" s="481"/>
      <c r="E12" s="482">
        <v>0</v>
      </c>
      <c r="F12" s="483"/>
      <c r="G12" s="478"/>
      <c r="H12" s="478"/>
    </row>
    <row r="13" spans="1:8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0</v>
      </c>
      <c r="F13" s="483"/>
      <c r="G13" s="478"/>
      <c r="H13" s="478"/>
    </row>
    <row r="14" spans="1:8">
      <c r="A14" s="479">
        <v>524</v>
      </c>
      <c r="B14" s="479">
        <v>1303</v>
      </c>
      <c r="C14" s="481" t="s">
        <v>540</v>
      </c>
      <c r="D14" s="484">
        <v>0.25</v>
      </c>
      <c r="E14" s="482">
        <f>(E10+E12)*D14</f>
        <v>0</v>
      </c>
      <c r="F14" s="483"/>
      <c r="G14" s="478"/>
      <c r="H14" s="478"/>
    </row>
    <row r="15" spans="1:8">
      <c r="A15" s="481" t="s">
        <v>24</v>
      </c>
      <c r="B15" s="479">
        <v>1301</v>
      </c>
      <c r="C15" s="481" t="s">
        <v>541</v>
      </c>
      <c r="D15" s="484"/>
      <c r="E15" s="482">
        <v>0</v>
      </c>
      <c r="F15" s="483"/>
      <c r="G15" s="478"/>
      <c r="H15" s="478"/>
    </row>
    <row r="16" spans="1:8">
      <c r="A16" s="481" t="s">
        <v>26</v>
      </c>
      <c r="B16" s="479">
        <v>1363</v>
      </c>
      <c r="C16" s="481" t="s">
        <v>542</v>
      </c>
      <c r="D16" s="485">
        <v>1.4999999999999999E-2</v>
      </c>
      <c r="E16" s="482">
        <f>E10*D16</f>
        <v>0</v>
      </c>
      <c r="F16" s="483"/>
      <c r="G16" s="478"/>
      <c r="H16" s="478"/>
    </row>
    <row r="17" spans="1:8">
      <c r="A17" s="479">
        <v>549</v>
      </c>
      <c r="B17" s="479">
        <v>1309</v>
      </c>
      <c r="C17" s="481" t="s">
        <v>27</v>
      </c>
      <c r="D17" s="481"/>
      <c r="E17" s="482">
        <f>[1]Hollar!C32+[1]Opletalova!C32+[1]Jinonice!C21+'[1]Krystal '!C17+'[1]Fakulta '!C23</f>
        <v>322000</v>
      </c>
      <c r="F17" s="483"/>
      <c r="G17" s="478"/>
      <c r="H17" s="478"/>
    </row>
    <row r="18" spans="1:8" ht="15.75" thickBot="1">
      <c r="A18" s="479">
        <v>799</v>
      </c>
      <c r="B18" s="479"/>
      <c r="C18" s="481" t="s">
        <v>33</v>
      </c>
      <c r="D18" s="481"/>
      <c r="E18" s="482">
        <f>[1]Jinonice!C22+'[1]Krystal '!C18+[1]Celetná!C12</f>
        <v>4083000</v>
      </c>
      <c r="F18" s="486"/>
      <c r="G18" s="478"/>
      <c r="H18" s="478"/>
    </row>
    <row r="19" spans="1:8">
      <c r="C19" s="487" t="s">
        <v>36</v>
      </c>
      <c r="D19" s="488"/>
      <c r="E19" s="489">
        <f>SUM(E2:E18)</f>
        <v>9833800</v>
      </c>
      <c r="F19" s="490"/>
    </row>
    <row r="22" spans="1:8">
      <c r="C22" t="s">
        <v>543</v>
      </c>
    </row>
    <row r="24" spans="1:8">
      <c r="A24" s="587"/>
      <c r="B24" s="587"/>
      <c r="C24" s="587" t="s">
        <v>735</v>
      </c>
      <c r="D24" s="587"/>
      <c r="E24" s="587"/>
    </row>
    <row r="25" spans="1:8">
      <c r="A25" s="587"/>
      <c r="B25" s="587"/>
      <c r="C25" s="587"/>
      <c r="D25" s="587"/>
      <c r="E25" s="587"/>
    </row>
    <row r="26" spans="1:8">
      <c r="A26" s="587" t="s">
        <v>736</v>
      </c>
      <c r="B26" s="587"/>
      <c r="C26" s="587"/>
      <c r="D26" s="587"/>
      <c r="E26" s="587"/>
    </row>
    <row r="27" spans="1:8">
      <c r="A27" s="587"/>
      <c r="B27" s="587"/>
      <c r="C27" s="611" t="s">
        <v>737</v>
      </c>
      <c r="D27" s="583"/>
      <c r="E27" s="612">
        <v>2329000</v>
      </c>
    </row>
    <row r="28" spans="1:8">
      <c r="A28" s="587"/>
      <c r="B28" s="587"/>
      <c r="C28" s="611" t="s">
        <v>738</v>
      </c>
      <c r="D28" s="583"/>
      <c r="E28" s="613">
        <v>1425000</v>
      </c>
    </row>
    <row r="29" spans="1:8">
      <c r="A29" s="587"/>
      <c r="B29" s="587"/>
      <c r="C29" s="611" t="s">
        <v>739</v>
      </c>
      <c r="D29" s="583"/>
      <c r="E29" s="613">
        <v>3441000</v>
      </c>
    </row>
    <row r="30" spans="1:8">
      <c r="A30" s="587"/>
      <c r="B30" s="587"/>
      <c r="C30" s="611" t="s">
        <v>740</v>
      </c>
      <c r="D30" s="583"/>
      <c r="E30" s="613">
        <v>403100</v>
      </c>
    </row>
    <row r="31" spans="1:8">
      <c r="A31" s="587"/>
      <c r="B31" s="587"/>
      <c r="C31" s="611" t="s">
        <v>741</v>
      </c>
      <c r="D31" s="583"/>
      <c r="E31" s="613">
        <v>400000</v>
      </c>
    </row>
    <row r="32" spans="1:8">
      <c r="A32" s="587"/>
      <c r="B32" s="587"/>
      <c r="C32" s="611" t="s">
        <v>742</v>
      </c>
      <c r="D32" s="583"/>
      <c r="E32" s="613">
        <v>364500</v>
      </c>
    </row>
    <row r="33" spans="1:5">
      <c r="A33" s="587"/>
      <c r="B33" s="587"/>
      <c r="C33" s="611" t="s">
        <v>743</v>
      </c>
      <c r="D33" s="583"/>
      <c r="E33" s="613">
        <f>'[2]Fakulta '!$C$16</f>
        <v>665600</v>
      </c>
    </row>
    <row r="34" spans="1:5">
      <c r="A34" s="587"/>
      <c r="B34" s="587"/>
      <c r="C34" s="611" t="s">
        <v>744</v>
      </c>
      <c r="D34" s="583"/>
      <c r="E34" s="612">
        <v>790600</v>
      </c>
    </row>
    <row r="35" spans="1:5">
      <c r="A35" s="587"/>
      <c r="B35" s="587"/>
      <c r="C35" s="583"/>
      <c r="D35" s="583"/>
      <c r="E35" s="583"/>
    </row>
    <row r="36" spans="1:5">
      <c r="A36" s="587" t="s">
        <v>745</v>
      </c>
      <c r="B36" s="587"/>
      <c r="C36" s="583"/>
      <c r="D36" s="583"/>
      <c r="E36" s="583"/>
    </row>
    <row r="37" spans="1:5">
      <c r="A37" s="587"/>
      <c r="B37" s="587"/>
      <c r="C37" s="611" t="s">
        <v>746</v>
      </c>
      <c r="D37" s="583"/>
      <c r="E37" s="614">
        <v>181000</v>
      </c>
    </row>
    <row r="38" spans="1:5">
      <c r="A38" s="587"/>
      <c r="B38" s="587"/>
      <c r="C38" s="611" t="s">
        <v>747</v>
      </c>
      <c r="D38" s="583"/>
      <c r="E38" s="614">
        <v>620000</v>
      </c>
    </row>
    <row r="39" spans="1:5">
      <c r="A39" s="587"/>
      <c r="B39" s="587"/>
      <c r="C39" s="611" t="s">
        <v>748</v>
      </c>
      <c r="D39" s="583"/>
      <c r="E39" s="614">
        <v>426000</v>
      </c>
    </row>
    <row r="40" spans="1:5">
      <c r="A40" s="587"/>
      <c r="B40" s="587"/>
      <c r="C40" s="611" t="s">
        <v>749</v>
      </c>
      <c r="D40" s="583"/>
      <c r="E40" s="614">
        <v>453000</v>
      </c>
    </row>
    <row r="41" spans="1:5" ht="21">
      <c r="A41" s="587"/>
      <c r="B41" s="587"/>
      <c r="C41" s="615" t="s">
        <v>750</v>
      </c>
      <c r="D41" s="583"/>
      <c r="E41" s="614">
        <f>100000+15000</f>
        <v>115000</v>
      </c>
    </row>
    <row r="42" spans="1:5">
      <c r="A42" s="587"/>
      <c r="B42" s="587"/>
      <c r="C42" s="611" t="s">
        <v>751</v>
      </c>
      <c r="D42" s="583"/>
      <c r="E42" s="614">
        <v>17000</v>
      </c>
    </row>
    <row r="43" spans="1:5">
      <c r="A43" s="587"/>
      <c r="B43" s="587"/>
      <c r="C43" s="611" t="s">
        <v>752</v>
      </c>
      <c r="D43" s="583"/>
      <c r="E43" s="614">
        <v>18000</v>
      </c>
    </row>
    <row r="44" spans="1:5">
      <c r="A44" s="587"/>
      <c r="B44" s="587"/>
      <c r="C44" s="611" t="s">
        <v>753</v>
      </c>
      <c r="D44" s="583"/>
      <c r="E44" s="614">
        <v>35000</v>
      </c>
    </row>
    <row r="45" spans="1:5">
      <c r="A45" s="587"/>
      <c r="B45" s="587"/>
      <c r="C45" s="611" t="s">
        <v>754</v>
      </c>
      <c r="D45" s="583"/>
      <c r="E45" s="614">
        <v>5000</v>
      </c>
    </row>
    <row r="46" spans="1:5">
      <c r="A46" s="587"/>
      <c r="B46" s="587"/>
      <c r="C46" s="611" t="s">
        <v>755</v>
      </c>
      <c r="D46" s="583"/>
      <c r="E46" s="614">
        <v>10000</v>
      </c>
    </row>
    <row r="47" spans="1:5">
      <c r="A47" s="587"/>
      <c r="B47" s="587"/>
      <c r="C47" s="611" t="s">
        <v>756</v>
      </c>
      <c r="D47" s="583"/>
      <c r="E47" s="614">
        <v>43000</v>
      </c>
    </row>
    <row r="48" spans="1:5">
      <c r="A48" s="587"/>
      <c r="B48" s="587"/>
      <c r="C48" s="611" t="s">
        <v>757</v>
      </c>
      <c r="D48" s="583"/>
      <c r="E48" s="614">
        <v>25000</v>
      </c>
    </row>
    <row r="49" spans="1:5">
      <c r="A49" s="587"/>
      <c r="B49" s="587"/>
      <c r="C49" s="611" t="s">
        <v>758</v>
      </c>
      <c r="D49" s="583"/>
      <c r="E49" s="614">
        <v>20000</v>
      </c>
    </row>
    <row r="50" spans="1:5">
      <c r="A50" s="587"/>
      <c r="B50" s="587"/>
      <c r="C50" s="611" t="s">
        <v>759</v>
      </c>
      <c r="D50" s="583"/>
      <c r="E50" s="614">
        <v>40000</v>
      </c>
    </row>
    <row r="51" spans="1:5">
      <c r="A51" s="587"/>
      <c r="B51" s="587"/>
      <c r="C51" s="615" t="s">
        <v>760</v>
      </c>
      <c r="D51" s="583"/>
      <c r="E51" s="614">
        <v>23000</v>
      </c>
    </row>
    <row r="52" spans="1:5">
      <c r="A52" s="587"/>
      <c r="B52" s="587"/>
      <c r="C52" s="616" t="s">
        <v>761</v>
      </c>
      <c r="D52" s="583"/>
      <c r="E52" s="614">
        <v>137000</v>
      </c>
    </row>
    <row r="53" spans="1:5" ht="31.5">
      <c r="A53" s="587"/>
      <c r="B53" s="587"/>
      <c r="C53" s="615" t="s">
        <v>762</v>
      </c>
      <c r="D53" s="583"/>
      <c r="E53" s="614">
        <v>36000</v>
      </c>
    </row>
    <row r="54" spans="1:5">
      <c r="A54" s="587"/>
      <c r="B54" s="587"/>
      <c r="C54" s="611" t="s">
        <v>763</v>
      </c>
      <c r="D54" s="583"/>
      <c r="E54" s="614">
        <v>37000</v>
      </c>
    </row>
    <row r="55" spans="1:5">
      <c r="A55" s="587"/>
      <c r="B55" s="587"/>
      <c r="C55" s="611" t="s">
        <v>764</v>
      </c>
      <c r="D55" s="583"/>
      <c r="E55" s="614">
        <v>10000</v>
      </c>
    </row>
    <row r="56" spans="1:5" ht="31.5">
      <c r="A56" s="587"/>
      <c r="B56" s="587"/>
      <c r="C56" s="615" t="s">
        <v>765</v>
      </c>
      <c r="D56" s="583"/>
      <c r="E56" s="614">
        <v>78000</v>
      </c>
    </row>
    <row r="57" spans="1:5">
      <c r="A57" s="587"/>
      <c r="B57" s="587"/>
      <c r="C57" s="615" t="s">
        <v>766</v>
      </c>
      <c r="D57" s="583"/>
      <c r="E57" s="614">
        <v>15000</v>
      </c>
    </row>
    <row r="58" spans="1:5">
      <c r="A58" s="587"/>
      <c r="B58" s="587"/>
      <c r="C58" s="583"/>
      <c r="D58" s="583"/>
      <c r="E58" s="583"/>
    </row>
    <row r="59" spans="1:5">
      <c r="A59" s="587" t="s">
        <v>767</v>
      </c>
      <c r="B59" s="587"/>
      <c r="C59" s="583"/>
      <c r="D59" s="583"/>
      <c r="E59" s="583"/>
    </row>
    <row r="60" spans="1:5">
      <c r="A60" s="587"/>
      <c r="B60" s="587"/>
      <c r="C60" s="611" t="s">
        <v>746</v>
      </c>
      <c r="D60" s="583"/>
      <c r="E60" s="614">
        <v>61000</v>
      </c>
    </row>
    <row r="61" spans="1:5">
      <c r="A61" s="587"/>
      <c r="B61" s="587"/>
      <c r="C61" s="611" t="s">
        <v>747</v>
      </c>
      <c r="D61" s="583"/>
      <c r="E61" s="614">
        <v>350000</v>
      </c>
    </row>
    <row r="62" spans="1:5">
      <c r="A62" s="587"/>
      <c r="B62" s="587"/>
      <c r="C62" s="611" t="s">
        <v>748</v>
      </c>
      <c r="D62" s="583"/>
      <c r="E62" s="614">
        <v>162000</v>
      </c>
    </row>
    <row r="63" spans="1:5">
      <c r="A63" s="587"/>
      <c r="B63" s="587"/>
      <c r="C63" s="611" t="s">
        <v>749</v>
      </c>
      <c r="D63" s="583"/>
      <c r="E63" s="614">
        <v>308000</v>
      </c>
    </row>
    <row r="64" spans="1:5" ht="21">
      <c r="A64" s="587"/>
      <c r="B64" s="587"/>
      <c r="C64" s="615" t="s">
        <v>750</v>
      </c>
      <c r="D64" s="583"/>
      <c r="E64" s="614">
        <v>50000</v>
      </c>
    </row>
    <row r="65" spans="1:5">
      <c r="A65" s="587"/>
      <c r="B65" s="587"/>
      <c r="C65" s="611" t="s">
        <v>751</v>
      </c>
      <c r="D65" s="583"/>
      <c r="E65" s="614">
        <v>39000</v>
      </c>
    </row>
    <row r="66" spans="1:5">
      <c r="A66" s="587"/>
      <c r="B66" s="587"/>
      <c r="C66" s="611" t="s">
        <v>752</v>
      </c>
      <c r="D66" s="583"/>
      <c r="E66" s="614">
        <v>33000</v>
      </c>
    </row>
    <row r="67" spans="1:5">
      <c r="A67" s="587"/>
      <c r="B67" s="587"/>
      <c r="C67" s="611" t="s">
        <v>753</v>
      </c>
      <c r="D67" s="583"/>
      <c r="E67" s="614">
        <v>50000</v>
      </c>
    </row>
    <row r="68" spans="1:5">
      <c r="A68" s="587"/>
      <c r="B68" s="587"/>
      <c r="C68" s="611" t="s">
        <v>754</v>
      </c>
      <c r="D68" s="583"/>
      <c r="E68" s="614">
        <v>5000</v>
      </c>
    </row>
    <row r="69" spans="1:5">
      <c r="A69" s="587"/>
      <c r="B69" s="587"/>
      <c r="C69" s="611" t="s">
        <v>768</v>
      </c>
      <c r="D69" s="583"/>
      <c r="E69" s="614">
        <v>6000</v>
      </c>
    </row>
    <row r="70" spans="1:5">
      <c r="A70" s="587"/>
      <c r="B70" s="587"/>
      <c r="C70" s="611" t="s">
        <v>769</v>
      </c>
      <c r="D70" s="583"/>
      <c r="E70" s="614">
        <v>20000</v>
      </c>
    </row>
    <row r="71" spans="1:5" ht="21">
      <c r="A71" s="587"/>
      <c r="B71" s="587"/>
      <c r="C71" s="615" t="s">
        <v>770</v>
      </c>
      <c r="D71" s="583"/>
      <c r="E71" s="614">
        <v>14000</v>
      </c>
    </row>
    <row r="72" spans="1:5">
      <c r="A72" s="587"/>
      <c r="B72" s="587"/>
      <c r="C72" s="611" t="s">
        <v>756</v>
      </c>
      <c r="D72" s="583"/>
      <c r="E72" s="614">
        <v>42000</v>
      </c>
    </row>
    <row r="73" spans="1:5">
      <c r="A73" s="587"/>
      <c r="B73" s="587"/>
      <c r="C73" s="611" t="s">
        <v>757</v>
      </c>
      <c r="D73" s="583"/>
      <c r="E73" s="614">
        <v>10000</v>
      </c>
    </row>
    <row r="74" spans="1:5">
      <c r="A74" s="587"/>
      <c r="B74" s="587"/>
      <c r="C74" s="611" t="s">
        <v>758</v>
      </c>
      <c r="D74" s="583"/>
      <c r="E74" s="614">
        <v>16000</v>
      </c>
    </row>
    <row r="75" spans="1:5">
      <c r="A75" s="587"/>
      <c r="B75" s="587"/>
      <c r="C75" s="615" t="s">
        <v>760</v>
      </c>
      <c r="D75" s="583"/>
      <c r="E75" s="614">
        <v>25000</v>
      </c>
    </row>
    <row r="76" spans="1:5">
      <c r="A76" s="587"/>
      <c r="B76" s="587"/>
      <c r="C76" s="616" t="s">
        <v>761</v>
      </c>
      <c r="D76" s="583"/>
      <c r="E76" s="614">
        <v>137000</v>
      </c>
    </row>
    <row r="77" spans="1:5" ht="31.5">
      <c r="A77" s="587"/>
      <c r="B77" s="587"/>
      <c r="C77" s="615" t="s">
        <v>771</v>
      </c>
      <c r="D77" s="583"/>
      <c r="E77" s="614">
        <v>13000</v>
      </c>
    </row>
    <row r="78" spans="1:5">
      <c r="A78" s="587"/>
      <c r="B78" s="587"/>
      <c r="C78" s="611" t="s">
        <v>763</v>
      </c>
      <c r="D78" s="583"/>
      <c r="E78" s="614">
        <v>26000</v>
      </c>
    </row>
    <row r="79" spans="1:5">
      <c r="A79" s="587"/>
      <c r="B79" s="587"/>
      <c r="C79" s="611" t="s">
        <v>764</v>
      </c>
      <c r="D79" s="583"/>
      <c r="E79" s="614">
        <v>15000</v>
      </c>
    </row>
    <row r="80" spans="1:5" ht="21">
      <c r="A80" s="587"/>
      <c r="B80" s="587"/>
      <c r="C80" s="615" t="s">
        <v>772</v>
      </c>
      <c r="D80" s="583"/>
      <c r="E80" s="614">
        <v>43000</v>
      </c>
    </row>
    <row r="81" spans="1:5">
      <c r="A81" s="587"/>
      <c r="B81" s="587"/>
      <c r="C81" s="583"/>
      <c r="D81" s="583"/>
      <c r="E81" s="583"/>
    </row>
    <row r="82" spans="1:5">
      <c r="A82" s="587" t="s">
        <v>775</v>
      </c>
      <c r="B82" s="587"/>
      <c r="C82" s="583"/>
      <c r="D82" s="583"/>
      <c r="E82" s="583"/>
    </row>
    <row r="83" spans="1:5">
      <c r="A83" s="587"/>
      <c r="B83" s="587"/>
      <c r="C83" s="611" t="s">
        <v>746</v>
      </c>
      <c r="D83" s="583"/>
      <c r="E83" s="614">
        <v>123000</v>
      </c>
    </row>
    <row r="84" spans="1:5">
      <c r="A84" s="587"/>
      <c r="B84" s="587"/>
      <c r="C84" s="611" t="s">
        <v>747</v>
      </c>
      <c r="D84" s="583"/>
      <c r="E84" s="614">
        <v>591000</v>
      </c>
    </row>
    <row r="85" spans="1:5">
      <c r="A85" s="587"/>
      <c r="B85" s="587"/>
      <c r="C85" s="611" t="s">
        <v>748</v>
      </c>
      <c r="D85" s="583"/>
      <c r="E85" s="614">
        <v>403000</v>
      </c>
    </row>
    <row r="86" spans="1:5">
      <c r="A86" s="587"/>
      <c r="B86" s="587"/>
      <c r="C86" s="611" t="s">
        <v>749</v>
      </c>
      <c r="D86" s="583"/>
      <c r="E86" s="614">
        <v>515000</v>
      </c>
    </row>
    <row r="87" spans="1:5">
      <c r="A87" s="587"/>
      <c r="B87" s="587"/>
      <c r="C87" s="615" t="s">
        <v>763</v>
      </c>
      <c r="D87" s="583"/>
      <c r="E87" s="614">
        <v>31000</v>
      </c>
    </row>
    <row r="88" spans="1:5">
      <c r="A88" s="587"/>
      <c r="B88" s="587"/>
      <c r="C88" s="611" t="s">
        <v>773</v>
      </c>
      <c r="D88" s="583"/>
      <c r="E88" s="614">
        <v>680000</v>
      </c>
    </row>
    <row r="89" spans="1:5">
      <c r="A89" s="587"/>
      <c r="B89" s="587"/>
      <c r="C89" s="611" t="s">
        <v>774</v>
      </c>
      <c r="D89" s="583"/>
      <c r="E89" s="614">
        <v>263000</v>
      </c>
    </row>
    <row r="90" spans="1:5">
      <c r="A90" s="587"/>
      <c r="B90" s="587"/>
      <c r="C90" s="611" t="s">
        <v>1</v>
      </c>
      <c r="D90" s="583"/>
      <c r="E90" s="614">
        <v>739000</v>
      </c>
    </row>
    <row r="91" spans="1:5">
      <c r="A91" s="587"/>
      <c r="B91" s="587"/>
      <c r="C91" s="583"/>
      <c r="D91" s="583"/>
      <c r="E91" s="583"/>
    </row>
    <row r="92" spans="1:5">
      <c r="A92" s="587" t="s">
        <v>782</v>
      </c>
      <c r="B92" s="587"/>
      <c r="C92" s="583"/>
      <c r="D92" s="583"/>
      <c r="E92" s="583"/>
    </row>
    <row r="93" spans="1:5">
      <c r="A93" s="587"/>
      <c r="B93" s="587"/>
      <c r="C93" s="611" t="s">
        <v>776</v>
      </c>
      <c r="D93" s="583"/>
      <c r="E93" s="614">
        <v>55000</v>
      </c>
    </row>
    <row r="94" spans="1:5">
      <c r="A94" s="587"/>
      <c r="B94" s="587"/>
      <c r="C94" s="611" t="s">
        <v>777</v>
      </c>
      <c r="D94" s="583"/>
      <c r="E94" s="614">
        <v>283000</v>
      </c>
    </row>
    <row r="95" spans="1:5">
      <c r="A95" s="587"/>
      <c r="B95" s="587"/>
      <c r="C95" s="611" t="s">
        <v>778</v>
      </c>
      <c r="D95" s="583"/>
      <c r="E95" s="614">
        <v>15000</v>
      </c>
    </row>
    <row r="96" spans="1:5" ht="21">
      <c r="A96" s="587"/>
      <c r="B96" s="587"/>
      <c r="C96" s="615" t="s">
        <v>779</v>
      </c>
      <c r="D96" s="583"/>
      <c r="E96" s="614">
        <v>45000</v>
      </c>
    </row>
    <row r="97" spans="1:5">
      <c r="A97" s="587"/>
      <c r="B97" s="587"/>
      <c r="C97" s="615" t="s">
        <v>780</v>
      </c>
      <c r="D97" s="583"/>
      <c r="E97" s="614">
        <v>100</v>
      </c>
    </row>
    <row r="98" spans="1:5">
      <c r="A98" s="587"/>
      <c r="B98" s="587"/>
      <c r="C98" s="611" t="s">
        <v>781</v>
      </c>
      <c r="D98" s="583"/>
      <c r="E98" s="614">
        <v>5000</v>
      </c>
    </row>
    <row r="99" spans="1:5">
      <c r="A99" s="587"/>
      <c r="B99" s="587"/>
      <c r="C99" s="583"/>
      <c r="D99" s="583"/>
      <c r="E99" s="583"/>
    </row>
    <row r="100" spans="1:5">
      <c r="A100" s="587" t="s">
        <v>783</v>
      </c>
      <c r="B100" s="587"/>
      <c r="C100" s="583"/>
      <c r="D100" s="583"/>
      <c r="E100" s="583"/>
    </row>
    <row r="101" spans="1:5">
      <c r="A101" s="587"/>
      <c r="B101" s="587"/>
      <c r="C101" s="611" t="s">
        <v>784</v>
      </c>
      <c r="D101" s="583"/>
      <c r="E101" s="614">
        <v>400000</v>
      </c>
    </row>
    <row r="102" spans="1:5">
      <c r="A102" s="587"/>
      <c r="B102" s="587"/>
      <c r="C102" s="583"/>
      <c r="D102" s="583"/>
      <c r="E102" s="583"/>
    </row>
    <row r="103" spans="1:5">
      <c r="A103" s="587" t="s">
        <v>785</v>
      </c>
      <c r="B103" s="587"/>
      <c r="C103" s="583"/>
      <c r="D103" s="583"/>
      <c r="E103" s="583"/>
    </row>
    <row r="104" spans="1:5">
      <c r="A104" s="587"/>
      <c r="B104" s="587"/>
      <c r="C104" s="611" t="s">
        <v>786</v>
      </c>
      <c r="D104" s="583"/>
      <c r="E104" s="614">
        <v>183000</v>
      </c>
    </row>
    <row r="105" spans="1:5">
      <c r="A105" s="587"/>
      <c r="B105" s="587"/>
      <c r="C105" s="611" t="s">
        <v>787</v>
      </c>
      <c r="D105" s="583"/>
      <c r="E105" s="614">
        <v>115500</v>
      </c>
    </row>
    <row r="106" spans="1:5">
      <c r="A106" s="587"/>
      <c r="B106" s="587"/>
      <c r="C106" s="611" t="s">
        <v>788</v>
      </c>
      <c r="D106" s="583"/>
      <c r="E106" s="614">
        <v>55000</v>
      </c>
    </row>
    <row r="107" spans="1:5">
      <c r="A107" s="587"/>
      <c r="B107" s="587"/>
      <c r="C107" s="611" t="s">
        <v>789</v>
      </c>
      <c r="D107" s="583"/>
      <c r="E107" s="617">
        <v>11000</v>
      </c>
    </row>
    <row r="108" spans="1:5">
      <c r="A108" s="587"/>
      <c r="B108" s="587"/>
      <c r="C108" s="583"/>
      <c r="D108" s="583"/>
      <c r="E108" s="583"/>
    </row>
    <row r="109" spans="1:5">
      <c r="A109" s="587" t="s">
        <v>790</v>
      </c>
      <c r="B109" s="587"/>
      <c r="C109" s="583"/>
      <c r="D109" s="583"/>
      <c r="E109" s="583"/>
    </row>
    <row r="110" spans="1:5">
      <c r="A110" s="587"/>
      <c r="B110" s="587"/>
      <c r="C110" s="611" t="s">
        <v>791</v>
      </c>
      <c r="D110" s="583"/>
      <c r="E110" s="614">
        <v>144000</v>
      </c>
    </row>
    <row r="111" spans="1:5">
      <c r="A111" s="587"/>
      <c r="B111" s="587"/>
      <c r="C111" s="611" t="s">
        <v>792</v>
      </c>
      <c r="D111" s="583"/>
      <c r="E111" s="614">
        <v>172000</v>
      </c>
    </row>
    <row r="112" spans="1:5">
      <c r="A112" s="587"/>
      <c r="B112" s="587"/>
      <c r="C112" s="611" t="s">
        <v>793</v>
      </c>
      <c r="D112" s="583"/>
      <c r="E112" s="614">
        <v>58000</v>
      </c>
    </row>
    <row r="113" spans="1:5">
      <c r="A113" s="587"/>
      <c r="B113" s="587"/>
      <c r="C113" s="611" t="s">
        <v>794</v>
      </c>
      <c r="D113" s="583"/>
      <c r="E113" s="614">
        <v>65000</v>
      </c>
    </row>
    <row r="114" spans="1:5">
      <c r="A114" s="587"/>
      <c r="B114" s="587"/>
      <c r="C114" s="611" t="s">
        <v>795</v>
      </c>
      <c r="D114" s="583"/>
      <c r="E114" s="614">
        <v>10000</v>
      </c>
    </row>
    <row r="115" spans="1:5">
      <c r="A115" s="587"/>
      <c r="B115" s="587"/>
      <c r="C115" s="615" t="s">
        <v>796</v>
      </c>
      <c r="D115" s="583"/>
      <c r="E115" s="614">
        <v>6000</v>
      </c>
    </row>
    <row r="116" spans="1:5">
      <c r="A116" s="587"/>
      <c r="B116" s="587"/>
      <c r="C116" s="615" t="s">
        <v>797</v>
      </c>
      <c r="D116" s="583"/>
      <c r="E116" s="614">
        <v>25000</v>
      </c>
    </row>
    <row r="117" spans="1:5">
      <c r="A117" s="587"/>
      <c r="B117" s="587"/>
      <c r="C117" s="615" t="s">
        <v>798</v>
      </c>
      <c r="D117" s="583"/>
      <c r="E117" s="614">
        <v>36000</v>
      </c>
    </row>
    <row r="118" spans="1:5">
      <c r="A118" s="587"/>
      <c r="B118" s="587"/>
      <c r="C118" s="611" t="s">
        <v>799</v>
      </c>
      <c r="D118" s="583"/>
      <c r="E118" s="614">
        <v>128000</v>
      </c>
    </row>
    <row r="119" spans="1:5">
      <c r="A119" s="587"/>
      <c r="B119" s="587"/>
      <c r="C119" s="611" t="s">
        <v>800</v>
      </c>
      <c r="D119" s="583"/>
      <c r="E119" s="614">
        <v>5600</v>
      </c>
    </row>
    <row r="120" spans="1:5">
      <c r="A120" s="587"/>
      <c r="B120" s="587"/>
      <c r="C120" s="611" t="s">
        <v>801</v>
      </c>
      <c r="D120" s="583"/>
      <c r="E120" s="614">
        <v>10000</v>
      </c>
    </row>
    <row r="121" spans="1:5">
      <c r="A121" s="587"/>
      <c r="B121" s="587"/>
      <c r="C121" s="611" t="s">
        <v>802</v>
      </c>
      <c r="D121" s="583"/>
      <c r="E121" s="614">
        <v>6000</v>
      </c>
    </row>
    <row r="122" spans="1:5">
      <c r="A122" s="587"/>
      <c r="B122" s="587"/>
      <c r="C122" s="587"/>
      <c r="D122" s="587"/>
      <c r="E122" s="587"/>
    </row>
    <row r="123" spans="1:5">
      <c r="A123" s="587" t="s">
        <v>803</v>
      </c>
      <c r="B123" s="587"/>
      <c r="C123" s="587"/>
      <c r="D123" s="587"/>
      <c r="E123" s="587"/>
    </row>
    <row r="124" spans="1:5">
      <c r="A124" s="587"/>
      <c r="B124" s="587"/>
      <c r="C124" s="587"/>
      <c r="D124" s="587"/>
      <c r="E124" s="587"/>
    </row>
    <row r="125" spans="1:5">
      <c r="A125" s="587" t="s">
        <v>745</v>
      </c>
      <c r="B125" s="587"/>
      <c r="C125" s="587"/>
      <c r="D125" s="587"/>
      <c r="E125" s="587"/>
    </row>
    <row r="126" spans="1:5">
      <c r="A126" s="587"/>
      <c r="B126" s="587"/>
      <c r="C126" s="687" t="s">
        <v>805</v>
      </c>
      <c r="D126" s="687"/>
      <c r="E126" s="614">
        <v>11000</v>
      </c>
    </row>
    <row r="127" spans="1:5">
      <c r="A127" s="587"/>
      <c r="B127" s="587"/>
      <c r="C127" s="687" t="s">
        <v>806</v>
      </c>
      <c r="D127" s="687"/>
      <c r="E127" s="614">
        <v>55000</v>
      </c>
    </row>
    <row r="128" spans="1:5">
      <c r="A128" s="587"/>
      <c r="B128" s="587"/>
      <c r="C128" s="687" t="s">
        <v>807</v>
      </c>
      <c r="D128" s="687"/>
      <c r="E128" s="614">
        <v>98000</v>
      </c>
    </row>
    <row r="129" spans="1:5">
      <c r="A129" s="587"/>
      <c r="B129" s="587"/>
      <c r="C129" s="687" t="s">
        <v>808</v>
      </c>
      <c r="D129" s="687"/>
      <c r="E129" s="617">
        <v>20000</v>
      </c>
    </row>
    <row r="130" spans="1:5">
      <c r="A130" s="587"/>
      <c r="B130" s="587"/>
      <c r="C130" s="687" t="s">
        <v>809</v>
      </c>
      <c r="D130" s="687"/>
      <c r="E130" s="617">
        <v>30000</v>
      </c>
    </row>
    <row r="131" spans="1:5">
      <c r="A131" s="587"/>
      <c r="B131" s="587"/>
      <c r="C131" s="686" t="s">
        <v>810</v>
      </c>
      <c r="D131" s="686"/>
      <c r="E131" s="614">
        <v>5000</v>
      </c>
    </row>
    <row r="132" spans="1:5">
      <c r="A132" s="587"/>
      <c r="B132" s="587"/>
      <c r="C132" s="687" t="s">
        <v>811</v>
      </c>
      <c r="D132" s="687"/>
      <c r="E132" s="617">
        <v>10000</v>
      </c>
    </row>
    <row r="133" spans="1:5">
      <c r="A133" s="587"/>
      <c r="B133" s="587"/>
      <c r="C133" s="687" t="s">
        <v>812</v>
      </c>
      <c r="D133" s="687"/>
      <c r="E133" s="614">
        <v>5000</v>
      </c>
    </row>
    <row r="134" spans="1:5">
      <c r="A134" s="587"/>
      <c r="B134" s="587"/>
      <c r="C134" s="687" t="s">
        <v>813</v>
      </c>
      <c r="D134" s="687"/>
      <c r="E134" s="614">
        <v>10000</v>
      </c>
    </row>
    <row r="135" spans="1:5">
      <c r="A135" s="587"/>
      <c r="B135" s="587"/>
      <c r="C135" s="687" t="s">
        <v>814</v>
      </c>
      <c r="D135" s="687"/>
      <c r="E135" s="614">
        <v>55000</v>
      </c>
    </row>
    <row r="136" spans="1:5">
      <c r="A136" s="587"/>
      <c r="B136" s="587"/>
      <c r="C136" s="687" t="s">
        <v>815</v>
      </c>
      <c r="D136" s="687"/>
      <c r="E136" s="614">
        <v>29000</v>
      </c>
    </row>
    <row r="137" spans="1:5">
      <c r="A137" s="587"/>
      <c r="B137" s="587"/>
      <c r="C137" s="583"/>
      <c r="D137" s="583"/>
      <c r="E137" s="583"/>
    </row>
    <row r="138" spans="1:5">
      <c r="A138" s="587" t="s">
        <v>775</v>
      </c>
      <c r="B138" s="587"/>
      <c r="C138" s="583"/>
      <c r="D138" s="583"/>
      <c r="E138" s="583"/>
    </row>
    <row r="139" spans="1:5">
      <c r="A139" s="587"/>
      <c r="B139" s="587"/>
      <c r="C139" s="687" t="s">
        <v>816</v>
      </c>
      <c r="D139" s="687"/>
      <c r="E139" s="614">
        <v>15000</v>
      </c>
    </row>
    <row r="140" spans="1:5">
      <c r="A140" s="587"/>
      <c r="B140" s="587"/>
      <c r="C140" s="583"/>
      <c r="D140" s="583"/>
      <c r="E140" s="583"/>
    </row>
    <row r="141" spans="1:5">
      <c r="A141" s="587" t="s">
        <v>767</v>
      </c>
      <c r="B141" s="587"/>
      <c r="C141" s="583"/>
      <c r="D141" s="583"/>
      <c r="E141" s="583"/>
    </row>
    <row r="142" spans="1:5">
      <c r="A142" s="587"/>
      <c r="B142" s="587"/>
      <c r="C142" s="686" t="s">
        <v>826</v>
      </c>
      <c r="D142" s="686"/>
      <c r="E142" s="614">
        <v>53000</v>
      </c>
    </row>
    <row r="143" spans="1:5">
      <c r="A143" s="587"/>
      <c r="B143" s="587"/>
      <c r="C143" s="687" t="s">
        <v>827</v>
      </c>
      <c r="D143" s="687"/>
      <c r="E143" s="614">
        <v>36000</v>
      </c>
    </row>
    <row r="144" spans="1:5">
      <c r="A144" s="587"/>
      <c r="B144" s="587"/>
      <c r="C144" s="687" t="s">
        <v>828</v>
      </c>
      <c r="D144" s="687"/>
      <c r="E144" s="614">
        <v>68000</v>
      </c>
    </row>
    <row r="145" spans="1:5">
      <c r="A145" s="587"/>
      <c r="B145" s="587"/>
      <c r="C145" s="687" t="s">
        <v>829</v>
      </c>
      <c r="D145" s="687"/>
      <c r="E145" s="614">
        <v>43000</v>
      </c>
    </row>
    <row r="146" spans="1:5">
      <c r="A146" s="587"/>
      <c r="B146" s="587"/>
      <c r="C146" s="687" t="s">
        <v>811</v>
      </c>
      <c r="D146" s="687"/>
      <c r="E146" s="617">
        <v>7000</v>
      </c>
    </row>
    <row r="147" spans="1:5">
      <c r="A147" s="587"/>
      <c r="B147" s="587"/>
      <c r="C147" s="687" t="s">
        <v>805</v>
      </c>
      <c r="D147" s="687"/>
      <c r="E147" s="614">
        <v>20000</v>
      </c>
    </row>
    <row r="148" spans="1:5">
      <c r="A148" s="587"/>
      <c r="B148" s="587"/>
      <c r="C148" s="687" t="s">
        <v>830</v>
      </c>
      <c r="D148" s="687"/>
      <c r="E148" s="614">
        <v>40000</v>
      </c>
    </row>
    <row r="149" spans="1:5">
      <c r="A149" s="587"/>
      <c r="B149" s="587"/>
      <c r="C149" s="687" t="s">
        <v>831</v>
      </c>
      <c r="D149" s="687"/>
      <c r="E149" s="614">
        <v>10000</v>
      </c>
    </row>
    <row r="150" spans="1:5">
      <c r="A150" s="587"/>
      <c r="B150" s="587"/>
      <c r="C150" s="687" t="s">
        <v>832</v>
      </c>
      <c r="D150" s="687"/>
      <c r="E150" s="614">
        <v>12000</v>
      </c>
    </row>
    <row r="151" spans="1:5">
      <c r="A151" s="587"/>
      <c r="B151" s="587"/>
      <c r="C151" s="687" t="s">
        <v>833</v>
      </c>
      <c r="D151" s="687"/>
      <c r="E151" s="614">
        <v>13000</v>
      </c>
    </row>
    <row r="152" spans="1:5">
      <c r="A152" s="587"/>
      <c r="B152" s="587"/>
      <c r="C152" s="687" t="s">
        <v>834</v>
      </c>
      <c r="D152" s="687"/>
      <c r="E152" s="614">
        <v>7000</v>
      </c>
    </row>
    <row r="153" spans="1:5">
      <c r="A153" s="587"/>
      <c r="B153" s="587"/>
      <c r="C153" s="687" t="s">
        <v>835</v>
      </c>
      <c r="D153" s="687"/>
      <c r="E153" s="614">
        <v>18000</v>
      </c>
    </row>
    <row r="154" spans="1:5">
      <c r="A154" s="587"/>
      <c r="B154" s="587"/>
      <c r="C154" s="687" t="s">
        <v>836</v>
      </c>
      <c r="D154" s="687"/>
      <c r="E154" s="614">
        <v>6000</v>
      </c>
    </row>
    <row r="155" spans="1:5">
      <c r="A155" s="587"/>
      <c r="B155" s="587"/>
      <c r="C155" s="687" t="s">
        <v>837</v>
      </c>
      <c r="D155" s="687"/>
      <c r="E155" s="614">
        <v>30000</v>
      </c>
    </row>
    <row r="156" spans="1:5">
      <c r="A156" s="587"/>
      <c r="B156" s="587"/>
      <c r="C156" s="583"/>
      <c r="D156" s="583"/>
      <c r="E156" s="583"/>
    </row>
    <row r="157" spans="1:5">
      <c r="A157" s="587"/>
      <c r="B157" s="587"/>
      <c r="C157" s="583"/>
      <c r="D157" s="583"/>
      <c r="E157" s="583"/>
    </row>
    <row r="158" spans="1:5">
      <c r="A158" s="587" t="s">
        <v>785</v>
      </c>
      <c r="B158" s="587"/>
      <c r="C158" s="583"/>
      <c r="D158" s="583"/>
      <c r="E158" s="583"/>
    </row>
    <row r="159" spans="1:5">
      <c r="A159" s="587"/>
      <c r="B159" s="587"/>
      <c r="C159" s="687" t="s">
        <v>838</v>
      </c>
      <c r="D159" s="687"/>
      <c r="E159" s="614">
        <v>75600</v>
      </c>
    </row>
    <row r="160" spans="1:5">
      <c r="A160" s="587"/>
      <c r="B160" s="587"/>
      <c r="C160" s="687" t="s">
        <v>839</v>
      </c>
      <c r="D160" s="687"/>
      <c r="E160" s="614">
        <v>9000</v>
      </c>
    </row>
  </sheetData>
  <mergeCells count="28">
    <mergeCell ref="C154:D154"/>
    <mergeCell ref="C155:D155"/>
    <mergeCell ref="C159:D159"/>
    <mergeCell ref="C160:D160"/>
    <mergeCell ref="C148:D148"/>
    <mergeCell ref="C149:D149"/>
    <mergeCell ref="C150:D150"/>
    <mergeCell ref="C151:D151"/>
    <mergeCell ref="C152:D152"/>
    <mergeCell ref="C153:D153"/>
    <mergeCell ref="C147:D147"/>
    <mergeCell ref="C132:D132"/>
    <mergeCell ref="C133:D133"/>
    <mergeCell ref="C134:D134"/>
    <mergeCell ref="C135:D135"/>
    <mergeCell ref="C136:D136"/>
    <mergeCell ref="C139:D139"/>
    <mergeCell ref="C142:D142"/>
    <mergeCell ref="C143:D143"/>
    <mergeCell ref="C144:D144"/>
    <mergeCell ref="C145:D145"/>
    <mergeCell ref="C146:D146"/>
    <mergeCell ref="C131:D131"/>
    <mergeCell ref="C126:D126"/>
    <mergeCell ref="C127:D127"/>
    <mergeCell ref="C128:D128"/>
    <mergeCell ref="C129:D129"/>
    <mergeCell ref="C130:D130"/>
  </mergeCells>
  <pageMargins left="0.7" right="0.7" top="0.78740157499999996" bottom="0.78740157499999996" header="0.3" footer="0.3"/>
  <pageSetup paperSize="9" scale="9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3"/>
  <sheetViews>
    <sheetView zoomScaleNormal="100" workbookViewId="0">
      <selection activeCell="C3" sqref="C3:C7"/>
    </sheetView>
  </sheetViews>
  <sheetFormatPr defaultColWidth="8.7109375" defaultRowHeight="15"/>
  <cols>
    <col min="1" max="2" width="5.28515625" customWidth="1"/>
    <col min="3" max="3" width="44.7109375" bestFit="1" customWidth="1"/>
    <col min="4" max="4" width="7.140625" customWidth="1"/>
    <col min="5" max="5" width="18" bestFit="1" customWidth="1"/>
    <col min="6" max="6" width="64.42578125" customWidth="1"/>
    <col min="7" max="7" width="17.7109375" bestFit="1" customWidth="1"/>
    <col min="8" max="8" width="20.42578125" bestFit="1" customWidth="1"/>
  </cols>
  <sheetData>
    <row r="1" spans="1:8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8">
      <c r="A2" s="474" t="s">
        <v>6</v>
      </c>
      <c r="B2" s="475">
        <v>1305</v>
      </c>
      <c r="C2" s="474" t="s">
        <v>537</v>
      </c>
      <c r="D2" s="474"/>
      <c r="E2" s="476">
        <v>0</v>
      </c>
      <c r="F2" s="477"/>
      <c r="G2" s="478"/>
      <c r="H2" s="478"/>
    </row>
    <row r="3" spans="1:8">
      <c r="A3" s="479">
        <v>501</v>
      </c>
      <c r="B3" s="479">
        <v>1309</v>
      </c>
      <c r="C3" s="480" t="s">
        <v>7</v>
      </c>
      <c r="D3" s="481"/>
      <c r="E3" s="482">
        <v>55000</v>
      </c>
      <c r="F3" s="483"/>
      <c r="G3" s="478"/>
      <c r="H3" s="478"/>
    </row>
    <row r="4" spans="1:8">
      <c r="A4" s="481" t="s">
        <v>8</v>
      </c>
      <c r="B4" s="479"/>
      <c r="C4" s="481" t="s">
        <v>9</v>
      </c>
      <c r="D4" s="481"/>
      <c r="E4" s="482">
        <v>0</v>
      </c>
      <c r="F4" s="483"/>
      <c r="G4" s="478"/>
      <c r="H4" s="478"/>
    </row>
    <row r="5" spans="1:8">
      <c r="A5" s="481" t="s">
        <v>10</v>
      </c>
      <c r="B5" s="479"/>
      <c r="C5" s="481" t="s">
        <v>11</v>
      </c>
      <c r="D5" s="481"/>
      <c r="E5" s="482">
        <v>0</v>
      </c>
      <c r="F5" s="483"/>
      <c r="G5" s="478"/>
      <c r="H5" s="478"/>
    </row>
    <row r="6" spans="1:8">
      <c r="A6" s="481" t="s">
        <v>12</v>
      </c>
      <c r="B6" s="479"/>
      <c r="C6" s="481" t="s">
        <v>13</v>
      </c>
      <c r="D6" s="481"/>
      <c r="E6" s="482">
        <v>0</v>
      </c>
      <c r="F6" s="483"/>
      <c r="G6" s="478"/>
      <c r="H6" s="478"/>
    </row>
    <row r="7" spans="1:8">
      <c r="A7" s="481" t="s">
        <v>14</v>
      </c>
      <c r="B7" s="479">
        <v>1401</v>
      </c>
      <c r="C7" s="481" t="s">
        <v>15</v>
      </c>
      <c r="D7" s="481"/>
      <c r="E7" s="482">
        <v>90000</v>
      </c>
      <c r="F7" s="483"/>
      <c r="G7" s="478"/>
      <c r="H7" s="478"/>
    </row>
    <row r="8" spans="1:8">
      <c r="A8" s="481" t="s">
        <v>16</v>
      </c>
      <c r="B8" s="479">
        <v>1305</v>
      </c>
      <c r="C8" s="481" t="s">
        <v>538</v>
      </c>
      <c r="D8" s="481"/>
      <c r="E8" s="482">
        <v>0</v>
      </c>
      <c r="F8" s="483"/>
      <c r="G8" s="478"/>
      <c r="H8" s="478"/>
    </row>
    <row r="9" spans="1:8">
      <c r="A9" s="479">
        <v>518</v>
      </c>
      <c r="B9" s="479">
        <v>1314</v>
      </c>
      <c r="C9" s="481" t="s">
        <v>17</v>
      </c>
      <c r="D9" s="481"/>
      <c r="E9" s="482">
        <v>70000</v>
      </c>
      <c r="F9" s="492"/>
      <c r="G9" s="478"/>
      <c r="H9" s="478"/>
    </row>
    <row r="10" spans="1:8">
      <c r="A10" s="481" t="s">
        <v>18</v>
      </c>
      <c r="B10" s="479">
        <v>1301</v>
      </c>
      <c r="C10" s="481" t="s">
        <v>19</v>
      </c>
      <c r="D10" s="481"/>
      <c r="E10" s="482">
        <v>0</v>
      </c>
      <c r="F10" s="483"/>
      <c r="G10" s="478"/>
      <c r="H10" s="478"/>
    </row>
    <row r="11" spans="1:8">
      <c r="A11" s="479">
        <v>521</v>
      </c>
      <c r="B11" s="479">
        <v>1304</v>
      </c>
      <c r="C11" s="481" t="s">
        <v>20</v>
      </c>
      <c r="D11" s="481"/>
      <c r="E11" s="482">
        <v>0</v>
      </c>
      <c r="F11" s="483"/>
      <c r="G11" s="478"/>
      <c r="H11" s="478"/>
    </row>
    <row r="12" spans="1:8">
      <c r="A12" s="479">
        <v>521</v>
      </c>
      <c r="B12" s="479">
        <v>1304</v>
      </c>
      <c r="C12" s="481" t="s">
        <v>21</v>
      </c>
      <c r="D12" s="481"/>
      <c r="E12" s="482">
        <v>0</v>
      </c>
      <c r="F12" s="483"/>
      <c r="G12" s="478"/>
      <c r="H12" s="478"/>
    </row>
    <row r="13" spans="1:8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0</v>
      </c>
      <c r="F13" s="483"/>
      <c r="G13" s="478"/>
      <c r="H13" s="478"/>
    </row>
    <row r="14" spans="1:8">
      <c r="A14" s="479">
        <v>524</v>
      </c>
      <c r="B14" s="479">
        <v>1303</v>
      </c>
      <c r="C14" s="481" t="s">
        <v>540</v>
      </c>
      <c r="D14" s="484">
        <v>0.25</v>
      </c>
      <c r="E14" s="482">
        <f>(E11+E13)*D14</f>
        <v>0</v>
      </c>
      <c r="F14" s="483"/>
      <c r="G14" s="478"/>
      <c r="H14" s="478"/>
    </row>
    <row r="15" spans="1:8">
      <c r="A15" s="481" t="s">
        <v>24</v>
      </c>
      <c r="B15" s="479">
        <v>1301</v>
      </c>
      <c r="C15" s="481" t="s">
        <v>541</v>
      </c>
      <c r="D15" s="484"/>
      <c r="E15" s="482">
        <v>0</v>
      </c>
      <c r="F15" s="483"/>
      <c r="G15" s="478"/>
      <c r="H15" s="478"/>
    </row>
    <row r="16" spans="1:8">
      <c r="A16" s="479">
        <v>546</v>
      </c>
      <c r="B16" s="479">
        <v>1401</v>
      </c>
      <c r="C16" s="481" t="s">
        <v>513</v>
      </c>
      <c r="D16" s="484"/>
      <c r="E16" s="482">
        <v>45000</v>
      </c>
      <c r="F16" s="483" t="s">
        <v>544</v>
      </c>
      <c r="G16" s="478"/>
      <c r="H16" s="478"/>
    </row>
    <row r="17" spans="1:8">
      <c r="A17" s="481" t="s">
        <v>26</v>
      </c>
      <c r="B17" s="479">
        <v>1363</v>
      </c>
      <c r="C17" s="481" t="s">
        <v>542</v>
      </c>
      <c r="D17" s="485">
        <v>1.4999999999999999E-2</v>
      </c>
      <c r="E17" s="482">
        <f>(E10+E12)*D17</f>
        <v>0</v>
      </c>
      <c r="F17" s="483"/>
      <c r="G17" s="478"/>
      <c r="H17" s="478"/>
    </row>
    <row r="18" spans="1:8">
      <c r="A18" s="479">
        <v>549</v>
      </c>
      <c r="B18" s="479">
        <v>1309</v>
      </c>
      <c r="C18" s="481" t="s">
        <v>27</v>
      </c>
      <c r="D18" s="481"/>
      <c r="E18" s="482">
        <v>90000</v>
      </c>
      <c r="F18" s="483"/>
      <c r="G18" s="478"/>
      <c r="H18" s="478"/>
    </row>
    <row r="19" spans="1:8" ht="15.75" thickBot="1">
      <c r="A19" s="479">
        <v>799</v>
      </c>
      <c r="B19" s="479"/>
      <c r="C19" s="481" t="s">
        <v>33</v>
      </c>
      <c r="D19" s="481"/>
      <c r="E19" s="482">
        <v>0</v>
      </c>
      <c r="F19" s="486"/>
      <c r="G19" s="478"/>
      <c r="H19" s="478"/>
    </row>
    <row r="20" spans="1:8">
      <c r="C20" s="487" t="s">
        <v>36</v>
      </c>
      <c r="D20" s="488"/>
      <c r="E20" s="489">
        <f>SUM(E2:E19)</f>
        <v>350000</v>
      </c>
      <c r="F20" s="490"/>
    </row>
    <row r="22" spans="1:8">
      <c r="A22">
        <v>602</v>
      </c>
      <c r="E22">
        <v>350000</v>
      </c>
    </row>
    <row r="23" spans="1:8">
      <c r="C23" t="s">
        <v>545</v>
      </c>
    </row>
  </sheetData>
  <pageMargins left="0.7" right="0.7" top="0.78740157499999996" bottom="0.78740157499999996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5"/>
  <sheetViews>
    <sheetView zoomScale="120" zoomScaleNormal="120" workbookViewId="0">
      <selection activeCell="D17" sqref="D17"/>
    </sheetView>
  </sheetViews>
  <sheetFormatPr defaultColWidth="8.7109375" defaultRowHeight="15"/>
  <cols>
    <col min="1" max="1" width="5.28515625" customWidth="1"/>
    <col min="2" max="2" width="50.7109375" customWidth="1"/>
    <col min="3" max="3" width="7.140625" customWidth="1"/>
    <col min="4" max="4" width="18" bestFit="1" customWidth="1"/>
    <col min="5" max="5" width="17.7109375" bestFit="1" customWidth="1"/>
    <col min="6" max="6" width="20.42578125" bestFit="1" customWidth="1"/>
  </cols>
  <sheetData>
    <row r="1" spans="1:6">
      <c r="A1" s="472" t="s">
        <v>2</v>
      </c>
      <c r="B1" s="472" t="s">
        <v>3</v>
      </c>
      <c r="C1" s="472" t="s">
        <v>4</v>
      </c>
      <c r="D1" s="472" t="s">
        <v>5</v>
      </c>
    </row>
    <row r="2" spans="1:6">
      <c r="A2" s="474" t="s">
        <v>6</v>
      </c>
      <c r="B2" s="474" t="s">
        <v>7</v>
      </c>
      <c r="C2" s="474"/>
      <c r="D2" s="476">
        <f>SUM('[3]100107_PR podrobně'!D3:D19)</f>
        <v>269250</v>
      </c>
      <c r="E2" s="478"/>
      <c r="F2" s="478"/>
    </row>
    <row r="3" spans="1:6">
      <c r="A3" s="481" t="s">
        <v>8</v>
      </c>
      <c r="B3" s="481" t="s">
        <v>9</v>
      </c>
      <c r="C3" s="481"/>
      <c r="D3" s="482">
        <v>0</v>
      </c>
      <c r="E3" s="478"/>
      <c r="F3" s="478"/>
    </row>
    <row r="4" spans="1:6">
      <c r="A4" s="481" t="s">
        <v>10</v>
      </c>
      <c r="B4" s="481" t="s">
        <v>11</v>
      </c>
      <c r="C4" s="481"/>
      <c r="D4" s="482">
        <v>0</v>
      </c>
      <c r="E4" s="478"/>
      <c r="F4" s="478"/>
    </row>
    <row r="5" spans="1:6">
      <c r="A5" s="481" t="s">
        <v>12</v>
      </c>
      <c r="B5" s="481" t="s">
        <v>13</v>
      </c>
      <c r="C5" s="481"/>
      <c r="D5" s="482">
        <f>SUM('[3]100107_PR podrobně'!D23:D27)</f>
        <v>280500</v>
      </c>
      <c r="E5" s="478"/>
      <c r="F5" s="478"/>
    </row>
    <row r="6" spans="1:6">
      <c r="A6" s="481" t="s">
        <v>14</v>
      </c>
      <c r="B6" s="481" t="s">
        <v>15</v>
      </c>
      <c r="C6" s="481"/>
      <c r="D6" s="482">
        <f>SUM('[3]100107_PR podrobně'!D29:D31)</f>
        <v>37090</v>
      </c>
      <c r="E6" s="494"/>
      <c r="F6" s="494"/>
    </row>
    <row r="7" spans="1:6">
      <c r="A7" s="481" t="s">
        <v>16</v>
      </c>
      <c r="B7" s="481" t="s">
        <v>17</v>
      </c>
      <c r="C7" s="481"/>
      <c r="D7" s="482">
        <f>SUM('[3]100107_PR podrobně'!D33:D90)</f>
        <v>1859390</v>
      </c>
      <c r="E7" s="478"/>
      <c r="F7" s="478"/>
    </row>
    <row r="8" spans="1:6">
      <c r="A8" s="481" t="s">
        <v>18</v>
      </c>
      <c r="B8" s="481" t="s">
        <v>19</v>
      </c>
      <c r="C8" s="481"/>
      <c r="D8" s="482">
        <f>SUM('[3]100107_PR podrobně'!D91)</f>
        <v>0</v>
      </c>
      <c r="E8" s="478"/>
      <c r="F8" s="478"/>
    </row>
    <row r="9" spans="1:6">
      <c r="A9" s="479">
        <v>521</v>
      </c>
      <c r="B9" s="481" t="s">
        <v>20</v>
      </c>
      <c r="C9" s="481"/>
      <c r="D9" s="482">
        <v>0</v>
      </c>
      <c r="E9" s="478"/>
      <c r="F9" s="478"/>
    </row>
    <row r="10" spans="1:6">
      <c r="A10" s="479">
        <v>521</v>
      </c>
      <c r="B10" s="481" t="s">
        <v>21</v>
      </c>
      <c r="C10" s="481"/>
      <c r="D10" s="482">
        <v>0</v>
      </c>
      <c r="E10" s="478"/>
      <c r="F10" s="478"/>
    </row>
    <row r="11" spans="1:6">
      <c r="A11" s="481" t="s">
        <v>22</v>
      </c>
      <c r="B11" s="481" t="s">
        <v>23</v>
      </c>
      <c r="C11" s="484"/>
      <c r="D11" s="482">
        <v>0</v>
      </c>
      <c r="E11" s="478"/>
      <c r="F11" s="478"/>
    </row>
    <row r="12" spans="1:6">
      <c r="A12" s="481" t="s">
        <v>24</v>
      </c>
      <c r="B12" s="481" t="s">
        <v>25</v>
      </c>
      <c r="C12" s="484"/>
      <c r="D12" s="482">
        <v>0</v>
      </c>
      <c r="E12" s="478"/>
      <c r="F12" s="478"/>
    </row>
    <row r="13" spans="1:6">
      <c r="A13" s="481" t="s">
        <v>26</v>
      </c>
      <c r="B13" s="481" t="s">
        <v>27</v>
      </c>
      <c r="C13" s="485"/>
      <c r="D13" s="482">
        <f>SUM('[3]100107_PR podrobně'!D96:D102)</f>
        <v>295000</v>
      </c>
      <c r="E13" s="478"/>
      <c r="F13" s="478"/>
    </row>
    <row r="14" spans="1:6" ht="15.75" thickBot="1">
      <c r="A14" s="481" t="s">
        <v>32</v>
      </c>
      <c r="B14" s="481" t="s">
        <v>33</v>
      </c>
      <c r="C14" s="481"/>
      <c r="D14" s="482">
        <f>SUM('[3]100107_PR podrobně'!D105:D109)</f>
        <v>57111</v>
      </c>
      <c r="E14" s="478"/>
      <c r="F14" s="478"/>
    </row>
    <row r="15" spans="1:6">
      <c r="B15" s="487" t="s">
        <v>36</v>
      </c>
      <c r="C15" s="488"/>
      <c r="D15" s="489">
        <f>SUM(D2:D14)</f>
        <v>2798341</v>
      </c>
    </row>
    <row r="16" spans="1:6">
      <c r="B16" s="650"/>
      <c r="C16" s="651"/>
      <c r="D16" s="652"/>
    </row>
    <row r="17" spans="1:4">
      <c r="B17" s="653" t="s">
        <v>888</v>
      </c>
      <c r="C17" s="651"/>
      <c r="D17" s="652"/>
    </row>
    <row r="19" spans="1:4">
      <c r="A19" s="583"/>
      <c r="B19" s="599" t="s">
        <v>585</v>
      </c>
      <c r="C19" s="583"/>
      <c r="D19" s="583"/>
    </row>
    <row r="20" spans="1:4">
      <c r="A20" s="585">
        <v>501</v>
      </c>
      <c r="B20" s="578" t="s">
        <v>641</v>
      </c>
      <c r="C20" s="583"/>
      <c r="D20" s="579">
        <v>46440</v>
      </c>
    </row>
    <row r="21" spans="1:4">
      <c r="A21" s="585"/>
      <c r="B21" s="578" t="s">
        <v>642</v>
      </c>
      <c r="C21" s="583"/>
      <c r="D21" s="579">
        <v>14227</v>
      </c>
    </row>
    <row r="22" spans="1:4">
      <c r="A22" s="585"/>
      <c r="B22" s="578" t="s">
        <v>643</v>
      </c>
      <c r="C22" s="583"/>
      <c r="D22" s="579">
        <v>5000</v>
      </c>
    </row>
    <row r="23" spans="1:4">
      <c r="A23" s="585"/>
      <c r="B23" s="578" t="s">
        <v>644</v>
      </c>
      <c r="C23" s="583"/>
      <c r="D23" s="591">
        <v>3000</v>
      </c>
    </row>
    <row r="24" spans="1:4">
      <c r="A24" s="585"/>
      <c r="B24" s="578" t="s">
        <v>645</v>
      </c>
      <c r="C24" s="583"/>
      <c r="D24" s="591">
        <v>25000</v>
      </c>
    </row>
    <row r="25" spans="1:4">
      <c r="A25" s="585"/>
      <c r="B25" s="580" t="s">
        <v>646</v>
      </c>
      <c r="C25" s="583"/>
      <c r="D25" s="591">
        <v>15000</v>
      </c>
    </row>
    <row r="26" spans="1:4">
      <c r="A26" s="585"/>
      <c r="B26" s="578" t="s">
        <v>647</v>
      </c>
      <c r="C26" s="583"/>
      <c r="D26" s="591">
        <v>10000</v>
      </c>
    </row>
    <row r="27" spans="1:4">
      <c r="A27" s="585"/>
      <c r="B27" s="578" t="s">
        <v>648</v>
      </c>
      <c r="C27" s="583"/>
      <c r="D27" s="591">
        <v>7000</v>
      </c>
    </row>
    <row r="28" spans="1:4">
      <c r="A28" s="585"/>
      <c r="B28" s="578" t="s">
        <v>649</v>
      </c>
      <c r="C28" s="583"/>
      <c r="D28" s="591">
        <v>28000</v>
      </c>
    </row>
    <row r="29" spans="1:4">
      <c r="A29" s="585"/>
      <c r="B29" s="578" t="s">
        <v>650</v>
      </c>
      <c r="C29" s="583"/>
      <c r="D29" s="591">
        <v>50000</v>
      </c>
    </row>
    <row r="30" spans="1:4">
      <c r="A30" s="585"/>
      <c r="B30" s="578" t="s">
        <v>651</v>
      </c>
      <c r="C30" s="583"/>
      <c r="D30" s="591">
        <v>25000</v>
      </c>
    </row>
    <row r="31" spans="1:4">
      <c r="A31" s="585"/>
      <c r="B31" s="601" t="s">
        <v>652</v>
      </c>
      <c r="C31" s="583"/>
      <c r="D31" s="591">
        <v>10000</v>
      </c>
    </row>
    <row r="32" spans="1:4">
      <c r="A32" s="585"/>
      <c r="B32" s="578" t="s">
        <v>653</v>
      </c>
      <c r="C32" s="583"/>
      <c r="D32" s="591">
        <v>5000</v>
      </c>
    </row>
    <row r="33" spans="1:4">
      <c r="A33" s="585"/>
      <c r="B33" s="578" t="s">
        <v>654</v>
      </c>
      <c r="C33" s="583"/>
      <c r="D33" s="591">
        <v>2273</v>
      </c>
    </row>
    <row r="34" spans="1:4">
      <c r="A34" s="585"/>
      <c r="B34" s="577" t="s">
        <v>655</v>
      </c>
      <c r="C34" s="583"/>
      <c r="D34" s="577">
        <v>2029</v>
      </c>
    </row>
    <row r="35" spans="1:4">
      <c r="A35" s="585"/>
      <c r="B35" s="578" t="s">
        <v>656</v>
      </c>
      <c r="C35" s="583"/>
      <c r="D35" s="591">
        <v>8000</v>
      </c>
    </row>
    <row r="36" spans="1:4">
      <c r="A36" s="585"/>
      <c r="B36" s="577" t="s">
        <v>657</v>
      </c>
      <c r="C36" s="583"/>
      <c r="D36" s="577">
        <v>13281</v>
      </c>
    </row>
    <row r="37" spans="1:4">
      <c r="A37" s="585">
        <v>512</v>
      </c>
      <c r="B37" s="578" t="s">
        <v>658</v>
      </c>
      <c r="C37" s="583"/>
      <c r="D37" s="603">
        <v>3000</v>
      </c>
    </row>
    <row r="38" spans="1:4">
      <c r="A38" s="585"/>
      <c r="B38" s="578" t="s">
        <v>659</v>
      </c>
      <c r="C38" s="583"/>
      <c r="D38" s="603">
        <v>21000</v>
      </c>
    </row>
    <row r="39" spans="1:4">
      <c r="A39" s="585"/>
      <c r="B39" s="578" t="s">
        <v>660</v>
      </c>
      <c r="C39" s="583"/>
      <c r="D39" s="603">
        <v>6500</v>
      </c>
    </row>
    <row r="40" spans="1:4" ht="63">
      <c r="A40" s="585"/>
      <c r="B40" s="581" t="s">
        <v>661</v>
      </c>
      <c r="C40" s="609"/>
      <c r="D40" s="604">
        <v>250000</v>
      </c>
    </row>
    <row r="41" spans="1:4">
      <c r="A41" s="585">
        <v>513</v>
      </c>
      <c r="B41" s="577" t="s">
        <v>662</v>
      </c>
      <c r="C41" s="583"/>
      <c r="D41" s="577">
        <v>10890</v>
      </c>
    </row>
    <row r="42" spans="1:4">
      <c r="A42" s="585"/>
      <c r="B42" s="577" t="s">
        <v>663</v>
      </c>
      <c r="C42" s="583"/>
      <c r="D42" s="577">
        <v>6200</v>
      </c>
    </row>
    <row r="43" spans="1:4">
      <c r="A43" s="585"/>
      <c r="B43" s="602" t="s">
        <v>664</v>
      </c>
      <c r="C43" s="583"/>
      <c r="D43" s="602">
        <v>20000</v>
      </c>
    </row>
    <row r="44" spans="1:4">
      <c r="A44" s="585">
        <v>518</v>
      </c>
      <c r="B44" s="577" t="s">
        <v>665</v>
      </c>
      <c r="C44" s="583"/>
      <c r="D44" s="577">
        <v>5929</v>
      </c>
    </row>
    <row r="45" spans="1:4">
      <c r="A45" s="585"/>
      <c r="B45" s="577" t="s">
        <v>666</v>
      </c>
      <c r="C45" s="583"/>
      <c r="D45" s="577">
        <v>34410</v>
      </c>
    </row>
    <row r="46" spans="1:4">
      <c r="A46" s="585"/>
      <c r="B46" s="577" t="s">
        <v>667</v>
      </c>
      <c r="C46" s="583"/>
      <c r="D46" s="577">
        <v>10000</v>
      </c>
    </row>
    <row r="47" spans="1:4">
      <c r="A47" s="585"/>
      <c r="B47" s="577" t="s">
        <v>668</v>
      </c>
      <c r="C47" s="583"/>
      <c r="D47" s="577">
        <v>49973</v>
      </c>
    </row>
    <row r="48" spans="1:4">
      <c r="A48" s="585"/>
      <c r="B48" s="577" t="s">
        <v>669</v>
      </c>
      <c r="C48" s="583"/>
      <c r="D48" s="577">
        <v>13310</v>
      </c>
    </row>
    <row r="49" spans="1:4">
      <c r="A49" s="585"/>
      <c r="B49" s="577" t="s">
        <v>670</v>
      </c>
      <c r="C49" s="583"/>
      <c r="D49" s="577">
        <v>17250</v>
      </c>
    </row>
    <row r="50" spans="1:4">
      <c r="A50" s="585"/>
      <c r="B50" s="577" t="s">
        <v>671</v>
      </c>
      <c r="C50" s="583"/>
      <c r="D50" s="577">
        <v>5885</v>
      </c>
    </row>
    <row r="51" spans="1:4">
      <c r="A51" s="585"/>
      <c r="B51" s="577" t="s">
        <v>672</v>
      </c>
      <c r="C51" s="583"/>
      <c r="D51" s="577">
        <v>5000</v>
      </c>
    </row>
    <row r="52" spans="1:4">
      <c r="A52" s="585"/>
      <c r="B52" s="578" t="s">
        <v>673</v>
      </c>
      <c r="C52" s="583"/>
      <c r="D52" s="579">
        <v>53240</v>
      </c>
    </row>
    <row r="53" spans="1:4">
      <c r="A53" s="585"/>
      <c r="B53" s="578" t="s">
        <v>674</v>
      </c>
      <c r="C53" s="583"/>
      <c r="D53" s="579">
        <v>27000</v>
      </c>
    </row>
    <row r="54" spans="1:4">
      <c r="A54" s="585"/>
      <c r="B54" s="580" t="s">
        <v>675</v>
      </c>
      <c r="C54" s="583"/>
      <c r="D54" s="579">
        <v>108900</v>
      </c>
    </row>
    <row r="55" spans="1:4">
      <c r="A55" s="585"/>
      <c r="B55" s="580" t="s">
        <v>676</v>
      </c>
      <c r="C55" s="583"/>
      <c r="D55" s="579">
        <v>75000</v>
      </c>
    </row>
    <row r="56" spans="1:4">
      <c r="A56" s="585"/>
      <c r="B56" s="580" t="s">
        <v>677</v>
      </c>
      <c r="C56" s="583"/>
      <c r="D56" s="579">
        <v>9000</v>
      </c>
    </row>
    <row r="57" spans="1:4">
      <c r="A57" s="585"/>
      <c r="B57" s="580" t="s">
        <v>678</v>
      </c>
      <c r="C57" s="583"/>
      <c r="D57" s="579">
        <v>21296</v>
      </c>
    </row>
    <row r="58" spans="1:4">
      <c r="A58" s="585"/>
      <c r="B58" s="580" t="s">
        <v>679</v>
      </c>
      <c r="C58" s="583"/>
      <c r="D58" s="579">
        <v>12100</v>
      </c>
    </row>
    <row r="59" spans="1:4">
      <c r="A59" s="585"/>
      <c r="B59" s="578" t="s">
        <v>680</v>
      </c>
      <c r="C59" s="583"/>
      <c r="D59" s="579">
        <v>11737</v>
      </c>
    </row>
    <row r="60" spans="1:4">
      <c r="A60" s="585"/>
      <c r="B60" s="578" t="s">
        <v>681</v>
      </c>
      <c r="C60" s="583"/>
      <c r="D60" s="579">
        <v>58080</v>
      </c>
    </row>
    <row r="61" spans="1:4">
      <c r="A61" s="585"/>
      <c r="B61" s="578" t="s">
        <v>682</v>
      </c>
      <c r="C61" s="583"/>
      <c r="D61" s="579">
        <v>100000</v>
      </c>
    </row>
    <row r="62" spans="1:4">
      <c r="A62" s="585"/>
      <c r="B62" s="578" t="s">
        <v>683</v>
      </c>
      <c r="C62" s="583"/>
      <c r="D62" s="579">
        <v>21780</v>
      </c>
    </row>
    <row r="63" spans="1:4">
      <c r="A63" s="585"/>
      <c r="B63" s="601" t="s">
        <v>684</v>
      </c>
      <c r="C63" s="583"/>
      <c r="D63" s="579">
        <v>10000</v>
      </c>
    </row>
    <row r="64" spans="1:4">
      <c r="A64" s="585"/>
      <c r="B64" s="605" t="s">
        <v>685</v>
      </c>
      <c r="C64" s="583"/>
      <c r="D64" s="591">
        <v>40000</v>
      </c>
    </row>
    <row r="65" spans="1:4">
      <c r="A65" s="585"/>
      <c r="B65" s="580" t="s">
        <v>686</v>
      </c>
      <c r="C65" s="583"/>
      <c r="D65" s="591">
        <v>7000</v>
      </c>
    </row>
    <row r="66" spans="1:4">
      <c r="A66" s="585"/>
      <c r="B66" s="580" t="s">
        <v>687</v>
      </c>
      <c r="C66" s="583"/>
      <c r="D66" s="591">
        <v>7000</v>
      </c>
    </row>
    <row r="67" spans="1:4">
      <c r="A67" s="585"/>
      <c r="B67" s="578" t="s">
        <v>688</v>
      </c>
      <c r="C67" s="583"/>
      <c r="D67" s="591">
        <v>5000</v>
      </c>
    </row>
    <row r="68" spans="1:4">
      <c r="A68" s="585"/>
      <c r="B68" s="600" t="s">
        <v>689</v>
      </c>
      <c r="C68" s="583"/>
      <c r="D68" s="603">
        <v>21000</v>
      </c>
    </row>
    <row r="69" spans="1:4">
      <c r="A69" s="585"/>
      <c r="B69" s="600" t="s">
        <v>690</v>
      </c>
      <c r="C69" s="583"/>
      <c r="D69" s="603">
        <v>20000</v>
      </c>
    </row>
    <row r="70" spans="1:4">
      <c r="A70" s="585"/>
      <c r="B70" s="600" t="s">
        <v>691</v>
      </c>
      <c r="C70" s="583"/>
      <c r="D70" s="603">
        <v>6000</v>
      </c>
    </row>
    <row r="71" spans="1:4">
      <c r="A71" s="585"/>
      <c r="B71" s="578" t="s">
        <v>692</v>
      </c>
      <c r="C71" s="583"/>
      <c r="D71" s="591">
        <v>20000</v>
      </c>
    </row>
    <row r="72" spans="1:4">
      <c r="A72" s="585"/>
      <c r="B72" s="578" t="s">
        <v>693</v>
      </c>
      <c r="C72" s="583"/>
      <c r="D72" s="579">
        <v>15000</v>
      </c>
    </row>
    <row r="73" spans="1:4">
      <c r="A73" s="585"/>
      <c r="B73" s="578" t="s">
        <v>694</v>
      </c>
      <c r="C73" s="583"/>
      <c r="D73" s="591">
        <v>20000</v>
      </c>
    </row>
    <row r="74" spans="1:4">
      <c r="A74" s="585"/>
      <c r="B74" s="578" t="s">
        <v>695</v>
      </c>
      <c r="C74" s="583"/>
      <c r="D74" s="591">
        <v>30000</v>
      </c>
    </row>
    <row r="75" spans="1:4">
      <c r="A75" s="585"/>
      <c r="B75" s="578" t="s">
        <v>696</v>
      </c>
      <c r="C75" s="583"/>
      <c r="D75" s="591">
        <v>40000</v>
      </c>
    </row>
    <row r="76" spans="1:4">
      <c r="A76" s="585"/>
      <c r="B76" s="578" t="s">
        <v>697</v>
      </c>
      <c r="C76" s="583"/>
      <c r="D76" s="591">
        <v>15000</v>
      </c>
    </row>
    <row r="77" spans="1:4">
      <c r="A77" s="585"/>
      <c r="B77" s="578" t="s">
        <v>698</v>
      </c>
      <c r="C77" s="583"/>
      <c r="D77" s="591">
        <v>5000</v>
      </c>
    </row>
    <row r="78" spans="1:4">
      <c r="A78" s="585"/>
      <c r="B78" s="578" t="s">
        <v>699</v>
      </c>
      <c r="C78" s="583"/>
      <c r="D78" s="591">
        <v>10000</v>
      </c>
    </row>
    <row r="79" spans="1:4">
      <c r="A79" s="585"/>
      <c r="B79" s="601" t="s">
        <v>700</v>
      </c>
      <c r="C79" s="583"/>
      <c r="D79" s="591">
        <v>20000</v>
      </c>
    </row>
    <row r="80" spans="1:4">
      <c r="A80" s="585"/>
      <c r="B80" s="578" t="s">
        <v>701</v>
      </c>
      <c r="C80" s="583"/>
      <c r="D80" s="591">
        <v>50000</v>
      </c>
    </row>
    <row r="81" spans="1:4">
      <c r="A81" s="585"/>
      <c r="B81" s="565" t="s">
        <v>702</v>
      </c>
      <c r="C81" s="583"/>
      <c r="D81" s="591">
        <v>25000</v>
      </c>
    </row>
    <row r="82" spans="1:4">
      <c r="A82" s="585"/>
      <c r="B82" s="580" t="s">
        <v>703</v>
      </c>
      <c r="C82" s="583"/>
      <c r="D82" s="591">
        <v>2000</v>
      </c>
    </row>
    <row r="83" spans="1:4">
      <c r="A83" s="585"/>
      <c r="B83" s="578" t="s">
        <v>704</v>
      </c>
      <c r="C83" s="583"/>
      <c r="D83" s="591">
        <v>50000</v>
      </c>
    </row>
    <row r="84" spans="1:4">
      <c r="A84" s="585"/>
      <c r="B84" s="578" t="s">
        <v>705</v>
      </c>
      <c r="C84" s="583"/>
      <c r="D84" s="591">
        <v>30000</v>
      </c>
    </row>
    <row r="85" spans="1:4">
      <c r="A85" s="585"/>
      <c r="B85" s="578" t="s">
        <v>706</v>
      </c>
      <c r="C85" s="583"/>
      <c r="D85" s="591">
        <v>15000</v>
      </c>
    </row>
    <row r="86" spans="1:4">
      <c r="A86" s="585"/>
      <c r="B86" s="578" t="s">
        <v>707</v>
      </c>
      <c r="C86" s="583"/>
      <c r="D86" s="591">
        <v>15000</v>
      </c>
    </row>
    <row r="87" spans="1:4">
      <c r="A87" s="585"/>
      <c r="B87" s="580" t="s">
        <v>708</v>
      </c>
      <c r="C87" s="583"/>
      <c r="D87" s="591">
        <v>23500</v>
      </c>
    </row>
    <row r="88" spans="1:4">
      <c r="A88" s="585"/>
      <c r="B88" s="578" t="s">
        <v>709</v>
      </c>
      <c r="C88" s="583"/>
      <c r="D88" s="591">
        <v>50000</v>
      </c>
    </row>
    <row r="89" spans="1:4">
      <c r="A89" s="585"/>
      <c r="B89" s="578" t="s">
        <v>710</v>
      </c>
      <c r="C89" s="583"/>
      <c r="D89" s="591">
        <v>3000</v>
      </c>
    </row>
    <row r="90" spans="1:4">
      <c r="A90" s="585"/>
      <c r="B90" s="578" t="s">
        <v>711</v>
      </c>
      <c r="C90" s="583"/>
      <c r="D90" s="591">
        <v>3000</v>
      </c>
    </row>
    <row r="91" spans="1:4">
      <c r="A91" s="585"/>
      <c r="B91" s="578" t="s">
        <v>712</v>
      </c>
      <c r="C91" s="583"/>
      <c r="D91" s="591">
        <v>10000</v>
      </c>
    </row>
    <row r="92" spans="1:4">
      <c r="A92" s="585"/>
      <c r="B92" s="578" t="s">
        <v>713</v>
      </c>
      <c r="C92" s="583"/>
      <c r="D92" s="591">
        <v>6000</v>
      </c>
    </row>
    <row r="93" spans="1:4">
      <c r="A93" s="585"/>
      <c r="B93" s="601" t="s">
        <v>714</v>
      </c>
      <c r="C93" s="583"/>
      <c r="D93" s="591">
        <v>15000</v>
      </c>
    </row>
    <row r="94" spans="1:4">
      <c r="A94" s="585"/>
      <c r="B94" s="578" t="s">
        <v>715</v>
      </c>
      <c r="C94" s="583"/>
      <c r="D94" s="591">
        <v>8000</v>
      </c>
    </row>
    <row r="95" spans="1:4">
      <c r="A95" s="585"/>
      <c r="B95" s="565" t="s">
        <v>716</v>
      </c>
      <c r="C95" s="583"/>
      <c r="D95" s="591">
        <v>5000</v>
      </c>
    </row>
    <row r="96" spans="1:4">
      <c r="A96" s="585"/>
      <c r="B96" s="606" t="s">
        <v>717</v>
      </c>
      <c r="C96" s="583"/>
      <c r="D96" s="591">
        <v>10000</v>
      </c>
    </row>
    <row r="97" spans="1:4" ht="33">
      <c r="A97" s="585"/>
      <c r="B97" s="607" t="s">
        <v>718</v>
      </c>
      <c r="C97" s="583"/>
      <c r="D97" s="591">
        <v>10000</v>
      </c>
    </row>
    <row r="98" spans="1:4" ht="33">
      <c r="A98" s="585"/>
      <c r="B98" s="608" t="s">
        <v>719</v>
      </c>
      <c r="C98" s="583"/>
      <c r="D98" s="591">
        <v>65000</v>
      </c>
    </row>
    <row r="99" spans="1:4" ht="54">
      <c r="A99" s="585"/>
      <c r="B99" s="608" t="s">
        <v>720</v>
      </c>
      <c r="C99" s="583"/>
      <c r="D99" s="603">
        <v>500000</v>
      </c>
    </row>
    <row r="100" spans="1:4" ht="33">
      <c r="A100" s="585"/>
      <c r="B100" s="608" t="s">
        <v>721</v>
      </c>
      <c r="C100" s="583"/>
      <c r="D100" s="603">
        <v>25000</v>
      </c>
    </row>
    <row r="101" spans="1:4">
      <c r="A101" s="585"/>
      <c r="B101" s="578" t="s">
        <v>722</v>
      </c>
      <c r="C101" s="583"/>
      <c r="D101" s="603">
        <v>8000</v>
      </c>
    </row>
    <row r="102" spans="1:4">
      <c r="A102" s="585">
        <v>549</v>
      </c>
      <c r="B102" s="577" t="s">
        <v>723</v>
      </c>
      <c r="C102" s="583"/>
      <c r="D102" s="577">
        <v>150000</v>
      </c>
    </row>
    <row r="103" spans="1:4">
      <c r="A103" s="585"/>
      <c r="B103" s="577" t="s">
        <v>724</v>
      </c>
      <c r="C103" s="583"/>
      <c r="D103" s="577">
        <v>27000</v>
      </c>
    </row>
    <row r="104" spans="1:4">
      <c r="A104" s="585"/>
      <c r="B104" s="577" t="s">
        <v>725</v>
      </c>
      <c r="C104" s="583"/>
      <c r="D104" s="577">
        <v>70000</v>
      </c>
    </row>
    <row r="105" spans="1:4">
      <c r="A105" s="585"/>
      <c r="B105" s="577" t="s">
        <v>726</v>
      </c>
      <c r="C105" s="583"/>
      <c r="D105" s="577">
        <v>10000</v>
      </c>
    </row>
    <row r="106" spans="1:4">
      <c r="A106" s="585"/>
      <c r="B106" s="577" t="s">
        <v>727</v>
      </c>
      <c r="C106" s="583"/>
      <c r="D106" s="577">
        <v>18000</v>
      </c>
    </row>
    <row r="107" spans="1:4">
      <c r="A107" s="585"/>
      <c r="B107" s="577" t="s">
        <v>728</v>
      </c>
      <c r="C107" s="583"/>
      <c r="D107" s="577">
        <v>10000</v>
      </c>
    </row>
    <row r="108" spans="1:4">
      <c r="A108" s="585"/>
      <c r="B108" s="577" t="s">
        <v>729</v>
      </c>
      <c r="C108" s="583"/>
      <c r="D108" s="577">
        <v>10000</v>
      </c>
    </row>
    <row r="109" spans="1:4">
      <c r="A109" s="585">
        <v>799</v>
      </c>
      <c r="B109" s="578" t="s">
        <v>730</v>
      </c>
      <c r="C109" s="583"/>
      <c r="D109" s="603">
        <v>25000</v>
      </c>
    </row>
    <row r="110" spans="1:4">
      <c r="A110" s="585"/>
      <c r="B110" s="578" t="s">
        <v>731</v>
      </c>
      <c r="C110" s="583"/>
      <c r="D110" s="603">
        <v>18000</v>
      </c>
    </row>
    <row r="111" spans="1:4">
      <c r="A111" s="585"/>
      <c r="B111" s="577" t="s">
        <v>732</v>
      </c>
      <c r="C111" s="583"/>
      <c r="D111" s="577">
        <v>11495</v>
      </c>
    </row>
    <row r="112" spans="1:4">
      <c r="A112" s="585"/>
      <c r="B112" s="578" t="s">
        <v>733</v>
      </c>
      <c r="C112" s="583"/>
      <c r="D112" s="591">
        <v>1744</v>
      </c>
    </row>
    <row r="113" spans="1:4">
      <c r="A113" s="585"/>
      <c r="B113" s="578" t="s">
        <v>734</v>
      </c>
      <c r="C113" s="583"/>
      <c r="D113" s="591">
        <v>872</v>
      </c>
    </row>
    <row r="114" spans="1:4">
      <c r="A114" s="586"/>
    </row>
    <row r="115" spans="1:4">
      <c r="A115" s="586"/>
    </row>
    <row r="116" spans="1:4">
      <c r="A116" s="586"/>
    </row>
    <row r="117" spans="1:4">
      <c r="A117" s="586"/>
    </row>
    <row r="118" spans="1:4">
      <c r="A118" s="586"/>
    </row>
    <row r="119" spans="1:4">
      <c r="A119" s="586"/>
    </row>
    <row r="120" spans="1:4">
      <c r="A120" s="586"/>
    </row>
    <row r="121" spans="1:4">
      <c r="A121" s="586"/>
    </row>
    <row r="122" spans="1:4">
      <c r="A122" s="586"/>
    </row>
    <row r="123" spans="1:4">
      <c r="A123" s="586"/>
    </row>
    <row r="124" spans="1:4">
      <c r="A124" s="586"/>
    </row>
    <row r="125" spans="1:4">
      <c r="A125" s="586"/>
    </row>
    <row r="126" spans="1:4">
      <c r="A126" s="586"/>
    </row>
    <row r="127" spans="1:4">
      <c r="A127" s="586"/>
    </row>
    <row r="128" spans="1:4">
      <c r="A128" s="586"/>
    </row>
    <row r="129" spans="1:1">
      <c r="A129" s="586"/>
    </row>
    <row r="130" spans="1:1">
      <c r="A130" s="586"/>
    </row>
    <row r="131" spans="1:1">
      <c r="A131" s="586"/>
    </row>
    <row r="132" spans="1:1">
      <c r="A132" s="586"/>
    </row>
    <row r="133" spans="1:1">
      <c r="A133" s="586"/>
    </row>
    <row r="134" spans="1:1">
      <c r="A134" s="586"/>
    </row>
    <row r="135" spans="1:1">
      <c r="A135" s="586"/>
    </row>
    <row r="136" spans="1:1">
      <c r="A136" s="586"/>
    </row>
    <row r="137" spans="1:1">
      <c r="A137" s="586"/>
    </row>
    <row r="138" spans="1:1">
      <c r="A138" s="586"/>
    </row>
    <row r="139" spans="1:1">
      <c r="A139" s="586"/>
    </row>
    <row r="140" spans="1:1">
      <c r="A140" s="586"/>
    </row>
    <row r="141" spans="1:1">
      <c r="A141" s="586"/>
    </row>
    <row r="142" spans="1:1">
      <c r="A142" s="586"/>
    </row>
    <row r="143" spans="1:1">
      <c r="A143" s="586"/>
    </row>
    <row r="144" spans="1:1">
      <c r="A144" s="586"/>
    </row>
    <row r="145" spans="1:1">
      <c r="A145" s="586"/>
    </row>
    <row r="146" spans="1:1">
      <c r="A146" s="586"/>
    </row>
    <row r="147" spans="1:1">
      <c r="A147" s="586"/>
    </row>
    <row r="148" spans="1:1">
      <c r="A148" s="586"/>
    </row>
    <row r="149" spans="1:1">
      <c r="A149" s="586"/>
    </row>
    <row r="150" spans="1:1">
      <c r="A150" s="586"/>
    </row>
    <row r="151" spans="1:1">
      <c r="A151" s="586"/>
    </row>
    <row r="152" spans="1:1">
      <c r="A152" s="586"/>
    </row>
    <row r="153" spans="1:1">
      <c r="A153" s="586"/>
    </row>
    <row r="154" spans="1:1">
      <c r="A154" s="586"/>
    </row>
    <row r="155" spans="1:1">
      <c r="A155" s="586"/>
    </row>
    <row r="156" spans="1:1">
      <c r="A156" s="586"/>
    </row>
    <row r="157" spans="1:1">
      <c r="A157" s="586"/>
    </row>
    <row r="158" spans="1:1">
      <c r="A158" s="586"/>
    </row>
    <row r="159" spans="1:1">
      <c r="A159" s="586"/>
    </row>
    <row r="160" spans="1:1">
      <c r="A160" s="586"/>
    </row>
    <row r="161" spans="1:1">
      <c r="A161" s="586"/>
    </row>
    <row r="162" spans="1:1">
      <c r="A162" s="586"/>
    </row>
    <row r="163" spans="1:1">
      <c r="A163" s="586"/>
    </row>
    <row r="164" spans="1:1">
      <c r="A164" s="586"/>
    </row>
    <row r="165" spans="1:1">
      <c r="A165" s="586"/>
    </row>
    <row r="166" spans="1:1">
      <c r="A166" s="586"/>
    </row>
    <row r="167" spans="1:1">
      <c r="A167" s="586"/>
    </row>
    <row r="168" spans="1:1">
      <c r="A168" s="586"/>
    </row>
    <row r="169" spans="1:1">
      <c r="A169" s="586"/>
    </row>
    <row r="170" spans="1:1">
      <c r="A170" s="586"/>
    </row>
    <row r="171" spans="1:1">
      <c r="A171" s="586"/>
    </row>
    <row r="172" spans="1:1">
      <c r="A172" s="586"/>
    </row>
    <row r="173" spans="1:1">
      <c r="A173" s="586"/>
    </row>
    <row r="174" spans="1:1">
      <c r="A174" s="586"/>
    </row>
    <row r="175" spans="1:1">
      <c r="A175" s="586"/>
    </row>
    <row r="176" spans="1:1">
      <c r="A176" s="586"/>
    </row>
    <row r="177" spans="1:1">
      <c r="A177" s="586"/>
    </row>
    <row r="178" spans="1:1">
      <c r="A178" s="586"/>
    </row>
    <row r="179" spans="1:1">
      <c r="A179" s="586"/>
    </row>
    <row r="180" spans="1:1">
      <c r="A180" s="586"/>
    </row>
    <row r="181" spans="1:1">
      <c r="A181" s="586"/>
    </row>
    <row r="182" spans="1:1">
      <c r="A182" s="586"/>
    </row>
    <row r="183" spans="1:1">
      <c r="A183" s="586"/>
    </row>
    <row r="184" spans="1:1">
      <c r="A184" s="586"/>
    </row>
    <row r="185" spans="1:1">
      <c r="A185" s="586"/>
    </row>
    <row r="186" spans="1:1">
      <c r="A186" s="586"/>
    </row>
    <row r="187" spans="1:1">
      <c r="A187" s="586"/>
    </row>
    <row r="188" spans="1:1">
      <c r="A188" s="586"/>
    </row>
    <row r="189" spans="1:1">
      <c r="A189" s="586"/>
    </row>
    <row r="190" spans="1:1">
      <c r="A190" s="586"/>
    </row>
    <row r="191" spans="1:1">
      <c r="A191" s="586"/>
    </row>
    <row r="192" spans="1:1">
      <c r="A192" s="586"/>
    </row>
    <row r="193" spans="1:1">
      <c r="A193" s="586"/>
    </row>
    <row r="194" spans="1:1">
      <c r="A194" s="586"/>
    </row>
    <row r="195" spans="1:1">
      <c r="A195" s="586"/>
    </row>
    <row r="196" spans="1:1">
      <c r="A196" s="586"/>
    </row>
    <row r="197" spans="1:1">
      <c r="A197" s="586"/>
    </row>
    <row r="198" spans="1:1">
      <c r="A198" s="586"/>
    </row>
    <row r="199" spans="1:1">
      <c r="A199" s="586"/>
    </row>
    <row r="200" spans="1:1">
      <c r="A200" s="586"/>
    </row>
    <row r="201" spans="1:1">
      <c r="A201" s="586"/>
    </row>
    <row r="202" spans="1:1">
      <c r="A202" s="586"/>
    </row>
    <row r="203" spans="1:1">
      <c r="A203" s="586"/>
    </row>
    <row r="204" spans="1:1">
      <c r="A204" s="586"/>
    </row>
    <row r="205" spans="1:1">
      <c r="A205" s="586"/>
    </row>
    <row r="206" spans="1:1">
      <c r="A206" s="586"/>
    </row>
    <row r="207" spans="1:1">
      <c r="A207" s="586"/>
    </row>
    <row r="208" spans="1:1">
      <c r="A208" s="586"/>
    </row>
    <row r="209" spans="1:1">
      <c r="A209" s="586"/>
    </row>
    <row r="210" spans="1:1">
      <c r="A210" s="586"/>
    </row>
    <row r="211" spans="1:1">
      <c r="A211" s="586"/>
    </row>
    <row r="212" spans="1:1">
      <c r="A212" s="586"/>
    </row>
    <row r="213" spans="1:1">
      <c r="A213" s="586"/>
    </row>
    <row r="214" spans="1:1">
      <c r="A214" s="586"/>
    </row>
    <row r="215" spans="1:1">
      <c r="A215" s="586"/>
    </row>
    <row r="216" spans="1:1">
      <c r="A216" s="586"/>
    </row>
    <row r="217" spans="1:1">
      <c r="A217" s="586"/>
    </row>
    <row r="218" spans="1:1">
      <c r="A218" s="586"/>
    </row>
    <row r="219" spans="1:1">
      <c r="A219" s="586"/>
    </row>
    <row r="220" spans="1:1">
      <c r="A220" s="586"/>
    </row>
    <row r="221" spans="1:1">
      <c r="A221" s="586"/>
    </row>
    <row r="222" spans="1:1">
      <c r="A222" s="586"/>
    </row>
    <row r="223" spans="1:1">
      <c r="A223" s="586"/>
    </row>
    <row r="224" spans="1:1">
      <c r="A224" s="586"/>
    </row>
    <row r="225" spans="1:1">
      <c r="A225" s="586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zoomScaleNormal="100" workbookViewId="0">
      <selection activeCell="D39" sqref="D39"/>
    </sheetView>
  </sheetViews>
  <sheetFormatPr defaultColWidth="8.7109375" defaultRowHeight="15"/>
  <cols>
    <col min="1" max="1" width="5.28515625" customWidth="1"/>
    <col min="2" max="2" width="44.7109375" bestFit="1" customWidth="1"/>
    <col min="3" max="3" width="7.140625" customWidth="1"/>
    <col min="4" max="4" width="20.7109375" customWidth="1"/>
    <col min="5" max="5" width="57.28515625" customWidth="1"/>
  </cols>
  <sheetData>
    <row r="1" spans="1:5" ht="15.75" thickBot="1">
      <c r="D1">
        <v>100030</v>
      </c>
    </row>
    <row r="2" spans="1:5">
      <c r="A2" s="472" t="s">
        <v>2</v>
      </c>
      <c r="B2" s="472" t="s">
        <v>3</v>
      </c>
      <c r="C2" s="472" t="s">
        <v>4</v>
      </c>
      <c r="D2" s="472" t="s">
        <v>5</v>
      </c>
      <c r="E2" s="473" t="s">
        <v>536</v>
      </c>
    </row>
    <row r="3" spans="1:5">
      <c r="A3" s="474" t="s">
        <v>6</v>
      </c>
      <c r="B3" s="474" t="s">
        <v>7</v>
      </c>
      <c r="C3" s="474"/>
      <c r="D3" s="476">
        <v>60000</v>
      </c>
      <c r="E3" s="477" t="s">
        <v>546</v>
      </c>
    </row>
    <row r="4" spans="1:5" ht="30.75" customHeight="1">
      <c r="A4" s="481" t="s">
        <v>8</v>
      </c>
      <c r="B4" s="481" t="s">
        <v>9</v>
      </c>
      <c r="C4" s="481"/>
      <c r="D4" s="482"/>
      <c r="E4" s="483"/>
    </row>
    <row r="5" spans="1:5">
      <c r="A5" s="481" t="s">
        <v>10</v>
      </c>
      <c r="B5" s="481" t="s">
        <v>11</v>
      </c>
      <c r="C5" s="481"/>
      <c r="D5" s="482"/>
      <c r="E5" s="483"/>
    </row>
    <row r="6" spans="1:5">
      <c r="A6" s="481" t="s">
        <v>12</v>
      </c>
      <c r="B6" s="481" t="s">
        <v>13</v>
      </c>
      <c r="C6" s="481"/>
      <c r="D6" s="482">
        <v>0</v>
      </c>
      <c r="E6" s="483"/>
    </row>
    <row r="7" spans="1:5">
      <c r="A7" s="481" t="s">
        <v>14</v>
      </c>
      <c r="B7" s="481" t="s">
        <v>15</v>
      </c>
      <c r="C7" s="481"/>
      <c r="D7" s="482">
        <v>2000</v>
      </c>
      <c r="E7" s="483" t="s">
        <v>547</v>
      </c>
    </row>
    <row r="8" spans="1:5" ht="27.75" customHeight="1">
      <c r="A8" s="481" t="s">
        <v>16</v>
      </c>
      <c r="B8" s="481" t="s">
        <v>17</v>
      </c>
      <c r="C8" s="481"/>
      <c r="D8" s="482">
        <v>20000</v>
      </c>
      <c r="E8" s="483" t="s">
        <v>548</v>
      </c>
    </row>
    <row r="9" spans="1:5">
      <c r="A9" s="481" t="s">
        <v>18</v>
      </c>
      <c r="B9" s="481" t="s">
        <v>19</v>
      </c>
      <c r="C9" s="481"/>
      <c r="D9" s="482">
        <f>'[4]100030 mzdy'!C20+'[4]100030 mzdy'!C38</f>
        <v>3268555.0000000005</v>
      </c>
      <c r="E9" s="483"/>
    </row>
    <row r="10" spans="1:5">
      <c r="A10" s="479">
        <v>521</v>
      </c>
      <c r="B10" s="481" t="s">
        <v>20</v>
      </c>
      <c r="C10" s="481"/>
      <c r="D10" s="482">
        <f>'[4]100030 mzdy'!C28</f>
        <v>82250</v>
      </c>
      <c r="E10" s="483"/>
    </row>
    <row r="11" spans="1:5">
      <c r="A11" s="479">
        <v>521</v>
      </c>
      <c r="B11" s="481" t="s">
        <v>21</v>
      </c>
      <c r="C11" s="481"/>
      <c r="D11" s="482">
        <f>'[4]100030 mzdy'!C33</f>
        <v>52800</v>
      </c>
      <c r="E11" s="483"/>
    </row>
    <row r="12" spans="1:5">
      <c r="A12" s="481" t="s">
        <v>22</v>
      </c>
      <c r="B12" s="481" t="s">
        <v>549</v>
      </c>
      <c r="C12" s="484">
        <v>0.09</v>
      </c>
      <c r="D12" s="482">
        <f>(D9+D11)*C12</f>
        <v>298921.95</v>
      </c>
      <c r="E12" s="483"/>
    </row>
    <row r="13" spans="1:5">
      <c r="A13" s="481"/>
      <c r="B13" s="481" t="s">
        <v>550</v>
      </c>
      <c r="C13" s="484">
        <v>0.25</v>
      </c>
      <c r="D13" s="482">
        <f>(D9+D11)*C13</f>
        <v>830338.75000000012</v>
      </c>
      <c r="E13" s="483"/>
    </row>
    <row r="14" spans="1:5">
      <c r="A14" s="481" t="s">
        <v>24</v>
      </c>
      <c r="B14" s="481" t="s">
        <v>25</v>
      </c>
      <c r="C14" s="485"/>
      <c r="D14" s="482"/>
      <c r="E14" s="483"/>
    </row>
    <row r="15" spans="1:5">
      <c r="A15" s="481" t="s">
        <v>26</v>
      </c>
      <c r="B15" s="481" t="s">
        <v>27</v>
      </c>
      <c r="C15" s="485">
        <v>1.4999999999999999E-2</v>
      </c>
      <c r="D15" s="482">
        <f>(D9)*C15</f>
        <v>49028.325000000004</v>
      </c>
      <c r="E15" s="483"/>
    </row>
    <row r="16" spans="1:5">
      <c r="A16" s="481" t="s">
        <v>28</v>
      </c>
      <c r="B16" s="481" t="s">
        <v>29</v>
      </c>
      <c r="C16" s="481"/>
      <c r="D16" s="482"/>
      <c r="E16" s="483"/>
    </row>
    <row r="17" spans="1:5">
      <c r="A17" s="481" t="s">
        <v>30</v>
      </c>
      <c r="B17" s="481" t="s">
        <v>31</v>
      </c>
      <c r="C17" s="481"/>
      <c r="D17" s="482"/>
      <c r="E17" s="483"/>
    </row>
    <row r="18" spans="1:5">
      <c r="A18" s="481" t="s">
        <v>32</v>
      </c>
      <c r="B18" s="481" t="s">
        <v>33</v>
      </c>
      <c r="C18" s="481"/>
      <c r="D18" s="482">
        <v>1500</v>
      </c>
      <c r="E18" s="483" t="s">
        <v>551</v>
      </c>
    </row>
    <row r="19" spans="1:5" ht="15.75" thickBot="1">
      <c r="A19" s="495" t="s">
        <v>34</v>
      </c>
      <c r="B19" s="481" t="s">
        <v>35</v>
      </c>
      <c r="C19" s="481"/>
      <c r="D19" s="482"/>
      <c r="E19" s="486"/>
    </row>
    <row r="20" spans="1:5">
      <c r="B20" s="487" t="s">
        <v>36</v>
      </c>
      <c r="C20" s="488"/>
      <c r="D20" s="489">
        <f>SUM(D3:D19)</f>
        <v>4665394.0250000013</v>
      </c>
    </row>
    <row r="21" spans="1:5" ht="15.75" thickBot="1">
      <c r="B21" s="496" t="s">
        <v>37</v>
      </c>
      <c r="C21" s="497"/>
      <c r="D21" s="498">
        <f>D16+D17+D19</f>
        <v>0</v>
      </c>
    </row>
    <row r="23" spans="1:5">
      <c r="D23" s="499"/>
    </row>
    <row r="24" spans="1:5">
      <c r="B24" t="s">
        <v>887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workbookViewId="0">
      <selection activeCell="B22" sqref="B22"/>
    </sheetView>
  </sheetViews>
  <sheetFormatPr defaultColWidth="14.42578125" defaultRowHeight="15" customHeight="1"/>
  <cols>
    <col min="1" max="1" width="5.28515625" style="502" customWidth="1"/>
    <col min="2" max="2" width="44.7109375" style="502" customWidth="1"/>
    <col min="3" max="3" width="7.140625" style="502" customWidth="1"/>
    <col min="4" max="4" width="18" style="502" customWidth="1"/>
    <col min="5" max="5" width="46.140625" style="502" customWidth="1"/>
    <col min="6" max="6" width="17.7109375" style="502" customWidth="1"/>
    <col min="7" max="7" width="20.42578125" style="502" customWidth="1"/>
    <col min="8" max="8" width="9.42578125" style="502" bestFit="1" customWidth="1"/>
    <col min="9" max="26" width="8.7109375" style="502" customWidth="1"/>
    <col min="27" max="16384" width="14.42578125" style="502"/>
  </cols>
  <sheetData>
    <row r="1" spans="1:9">
      <c r="A1" s="500" t="s">
        <v>2</v>
      </c>
      <c r="B1" s="500" t="s">
        <v>3</v>
      </c>
      <c r="C1" s="500" t="s">
        <v>4</v>
      </c>
      <c r="D1" s="500" t="s">
        <v>5</v>
      </c>
      <c r="E1" s="501" t="s">
        <v>536</v>
      </c>
      <c r="F1" s="555"/>
      <c r="G1" s="556"/>
    </row>
    <row r="2" spans="1:9">
      <c r="A2" s="503" t="s">
        <v>6</v>
      </c>
      <c r="B2" s="503" t="s">
        <v>7</v>
      </c>
      <c r="C2" s="504"/>
      <c r="D2" s="505">
        <v>80000</v>
      </c>
      <c r="E2" s="506"/>
      <c r="F2" s="507"/>
      <c r="G2" s="507"/>
      <c r="H2" s="508"/>
      <c r="I2" s="509"/>
    </row>
    <row r="3" spans="1:9">
      <c r="A3" s="510" t="s">
        <v>8</v>
      </c>
      <c r="B3" s="510" t="s">
        <v>9</v>
      </c>
      <c r="C3" s="511"/>
      <c r="D3" s="512"/>
      <c r="E3" s="513"/>
      <c r="F3" s="507"/>
      <c r="G3" s="507"/>
      <c r="H3" s="508"/>
    </row>
    <row r="4" spans="1:9">
      <c r="A4" s="510" t="s">
        <v>10</v>
      </c>
      <c r="B4" s="510" t="s">
        <v>11</v>
      </c>
      <c r="C4" s="511"/>
      <c r="D4" s="514">
        <v>25000</v>
      </c>
      <c r="E4" s="513"/>
      <c r="F4" s="507"/>
      <c r="G4" s="507"/>
      <c r="H4" s="508"/>
    </row>
    <row r="5" spans="1:9">
      <c r="A5" s="510" t="s">
        <v>12</v>
      </c>
      <c r="B5" s="510" t="s">
        <v>13</v>
      </c>
      <c r="C5" s="511"/>
      <c r="D5" s="512">
        <v>60000</v>
      </c>
      <c r="E5" s="513"/>
      <c r="F5" s="507"/>
      <c r="G5" s="507"/>
      <c r="H5" s="508"/>
    </row>
    <row r="6" spans="1:9">
      <c r="A6" s="510" t="s">
        <v>14</v>
      </c>
      <c r="B6" s="510" t="s">
        <v>15</v>
      </c>
      <c r="C6" s="511"/>
      <c r="D6" s="514">
        <v>10000</v>
      </c>
      <c r="E6" s="513"/>
      <c r="F6" s="507"/>
      <c r="G6" s="507"/>
      <c r="H6" s="508"/>
    </row>
    <row r="7" spans="1:9">
      <c r="A7" s="510" t="s">
        <v>16</v>
      </c>
      <c r="B7" s="510" t="s">
        <v>17</v>
      </c>
      <c r="C7" s="511"/>
      <c r="D7" s="514">
        <v>40000</v>
      </c>
      <c r="E7" s="513"/>
      <c r="F7" s="507"/>
      <c r="G7" s="507"/>
      <c r="H7" s="508"/>
    </row>
    <row r="8" spans="1:9">
      <c r="A8" s="510" t="s">
        <v>18</v>
      </c>
      <c r="B8" s="510" t="s">
        <v>19</v>
      </c>
      <c r="C8" s="511"/>
      <c r="D8" s="514">
        <f>'[4]100140 mzdy'!D21+'[4]100140 mzdy'!C45</f>
        <v>5003611.875</v>
      </c>
      <c r="E8" s="513"/>
      <c r="F8" s="515"/>
      <c r="G8" s="515"/>
      <c r="H8" s="508"/>
    </row>
    <row r="9" spans="1:9">
      <c r="A9" s="516">
        <v>521</v>
      </c>
      <c r="B9" s="510" t="s">
        <v>20</v>
      </c>
      <c r="C9" s="511"/>
      <c r="D9" s="514">
        <f>'[5]100130 mzdy'!C25</f>
        <v>21000</v>
      </c>
      <c r="E9" s="513"/>
      <c r="F9" s="507"/>
      <c r="G9" s="507"/>
      <c r="H9" s="508"/>
    </row>
    <row r="10" spans="1:9">
      <c r="A10" s="516">
        <v>521</v>
      </c>
      <c r="B10" s="510" t="s">
        <v>21</v>
      </c>
      <c r="C10" s="511"/>
      <c r="D10" s="514">
        <f>'[5]100130 mzdy'!C30</f>
        <v>240000</v>
      </c>
      <c r="E10" s="513"/>
      <c r="F10" s="507"/>
      <c r="G10" s="507"/>
      <c r="H10" s="508"/>
    </row>
    <row r="11" spans="1:9">
      <c r="A11" s="510" t="s">
        <v>22</v>
      </c>
      <c r="B11" s="510" t="s">
        <v>23</v>
      </c>
      <c r="C11" s="517">
        <v>0.09</v>
      </c>
      <c r="D11" s="514">
        <f>(D8+D10)*C11</f>
        <v>471925.06874999998</v>
      </c>
      <c r="E11" s="513"/>
      <c r="F11" s="518"/>
      <c r="G11" s="518"/>
      <c r="H11" s="508"/>
    </row>
    <row r="12" spans="1:9">
      <c r="A12" s="510"/>
      <c r="B12" s="510"/>
      <c r="C12" s="517">
        <v>0.25</v>
      </c>
      <c r="D12" s="514">
        <f>(D8+D10)*C12</f>
        <v>1310902.96875</v>
      </c>
      <c r="E12" s="513"/>
      <c r="F12" s="518"/>
      <c r="G12" s="518"/>
      <c r="H12" s="508"/>
    </row>
    <row r="13" spans="1:9">
      <c r="A13" s="519" t="s">
        <v>24</v>
      </c>
      <c r="B13" s="520" t="s">
        <v>25</v>
      </c>
      <c r="C13" s="521"/>
      <c r="D13" s="512">
        <v>5195</v>
      </c>
      <c r="E13" s="522" t="s">
        <v>552</v>
      </c>
      <c r="F13" s="507"/>
      <c r="G13" s="507"/>
    </row>
    <row r="14" spans="1:9">
      <c r="A14" s="510" t="s">
        <v>26</v>
      </c>
      <c r="B14" s="510" t="s">
        <v>27</v>
      </c>
      <c r="C14" s="521">
        <v>1.4999999999999999E-2</v>
      </c>
      <c r="D14" s="514">
        <f>(D8)*C14</f>
        <v>75054.178124999991</v>
      </c>
      <c r="E14" s="513"/>
      <c r="F14" s="507"/>
      <c r="G14" s="507"/>
      <c r="H14" s="508"/>
    </row>
    <row r="15" spans="1:9">
      <c r="A15" s="510" t="s">
        <v>28</v>
      </c>
      <c r="B15" s="510" t="s">
        <v>29</v>
      </c>
      <c r="C15" s="511"/>
      <c r="D15" s="512">
        <v>550000</v>
      </c>
      <c r="E15" s="513"/>
      <c r="F15" s="507"/>
      <c r="G15" s="507"/>
      <c r="H15" s="508"/>
    </row>
    <row r="16" spans="1:9">
      <c r="A16" s="510">
        <v>648</v>
      </c>
      <c r="B16" s="510" t="s">
        <v>553</v>
      </c>
      <c r="C16" s="511"/>
      <c r="D16" s="512">
        <v>398979.75</v>
      </c>
      <c r="E16" s="513" t="s">
        <v>554</v>
      </c>
      <c r="F16" s="507"/>
      <c r="G16" s="507"/>
    </row>
    <row r="17" spans="1:8">
      <c r="A17" s="510" t="s">
        <v>32</v>
      </c>
      <c r="B17" s="510" t="s">
        <v>33</v>
      </c>
      <c r="C17" s="511"/>
      <c r="D17" s="514"/>
      <c r="E17" s="513"/>
      <c r="F17" s="507"/>
      <c r="G17" s="507"/>
      <c r="H17" s="508"/>
    </row>
    <row r="18" spans="1:8" ht="15.75" thickBot="1">
      <c r="A18" s="523" t="s">
        <v>34</v>
      </c>
      <c r="B18" s="510" t="s">
        <v>35</v>
      </c>
      <c r="C18" s="511"/>
      <c r="D18" s="514"/>
      <c r="E18" s="524"/>
      <c r="F18" s="507"/>
      <c r="G18" s="507"/>
    </row>
    <row r="19" spans="1:8">
      <c r="B19" s="525" t="s">
        <v>36</v>
      </c>
      <c r="C19" s="526"/>
      <c r="D19" s="527">
        <f>SUM(D2:D14)</f>
        <v>7342689.0906249993</v>
      </c>
      <c r="F19" s="528"/>
      <c r="G19" s="528"/>
    </row>
    <row r="20" spans="1:8" ht="15.75" thickBot="1">
      <c r="B20" s="529" t="s">
        <v>37</v>
      </c>
      <c r="C20" s="530"/>
      <c r="D20" s="531">
        <f>D15+D16+D18</f>
        <v>948979.75</v>
      </c>
      <c r="F20" s="532"/>
      <c r="G20" s="533"/>
    </row>
    <row r="22" spans="1:8" ht="15" customHeight="1">
      <c r="B22" s="502" t="s">
        <v>886</v>
      </c>
    </row>
  </sheetData>
  <pageMargins left="0.7" right="0.7" top="0.78740157499999996" bottom="0.78740157499999996" header="0" footer="0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zoomScale="120" zoomScaleNormal="120" workbookViewId="0">
      <selection activeCell="A17" sqref="A17:E17"/>
    </sheetView>
  </sheetViews>
  <sheetFormatPr defaultColWidth="8.7109375" defaultRowHeight="15"/>
  <cols>
    <col min="1" max="1" width="5.28515625" customWidth="1"/>
    <col min="2" max="2" width="44.7109375" bestFit="1" customWidth="1"/>
    <col min="3" max="3" width="7.140625" customWidth="1"/>
    <col min="4" max="4" width="18" bestFit="1" customWidth="1"/>
    <col min="5" max="5" width="57.28515625" customWidth="1"/>
    <col min="6" max="6" width="17.7109375" bestFit="1" customWidth="1"/>
    <col min="7" max="7" width="20.42578125" bestFit="1" customWidth="1"/>
  </cols>
  <sheetData>
    <row r="1" spans="1:7">
      <c r="A1" s="472" t="s">
        <v>2</v>
      </c>
      <c r="B1" s="472" t="s">
        <v>3</v>
      </c>
      <c r="C1" s="472" t="s">
        <v>4</v>
      </c>
      <c r="D1" s="472" t="s">
        <v>5</v>
      </c>
      <c r="E1" s="473" t="s">
        <v>536</v>
      </c>
    </row>
    <row r="2" spans="1:7">
      <c r="A2" s="474" t="s">
        <v>6</v>
      </c>
      <c r="B2" s="474" t="s">
        <v>7</v>
      </c>
      <c r="C2" s="474"/>
      <c r="D2" s="476">
        <f>SUM('[6]100170_SVI_podrobně'!D3:D9)</f>
        <v>670000</v>
      </c>
      <c r="E2" s="477" t="s">
        <v>633</v>
      </c>
      <c r="F2" s="478"/>
      <c r="G2" s="478"/>
    </row>
    <row r="3" spans="1:7">
      <c r="A3" s="481" t="s">
        <v>8</v>
      </c>
      <c r="B3" s="481" t="s">
        <v>9</v>
      </c>
      <c r="C3" s="481"/>
      <c r="D3" s="482">
        <v>0</v>
      </c>
      <c r="E3" s="483"/>
      <c r="F3" s="478"/>
      <c r="G3" s="478"/>
    </row>
    <row r="4" spans="1:7">
      <c r="A4" s="481" t="s">
        <v>10</v>
      </c>
      <c r="B4" s="481" t="s">
        <v>11</v>
      </c>
      <c r="C4" s="481"/>
      <c r="D4" s="482">
        <v>0</v>
      </c>
      <c r="E4" s="483"/>
      <c r="F4" s="478"/>
      <c r="G4" s="478"/>
    </row>
    <row r="5" spans="1:7">
      <c r="A5" s="481" t="s">
        <v>12</v>
      </c>
      <c r="B5" s="481" t="s">
        <v>13</v>
      </c>
      <c r="C5" s="481"/>
      <c r="D5" s="482">
        <f>SUM('[6]100170_SVI_podrobně'!D13:D18)</f>
        <v>0</v>
      </c>
      <c r="E5" s="483"/>
      <c r="F5" s="478"/>
      <c r="G5" s="478"/>
    </row>
    <row r="6" spans="1:7">
      <c r="A6" s="481" t="s">
        <v>14</v>
      </c>
      <c r="B6" s="481" t="s">
        <v>15</v>
      </c>
      <c r="C6" s="481"/>
      <c r="D6" s="482">
        <f>SUM('[6]100170_SVI_podrobně'!D20:D21)</f>
        <v>0</v>
      </c>
      <c r="E6" s="483"/>
      <c r="F6" s="478"/>
      <c r="G6" s="478"/>
    </row>
    <row r="7" spans="1:7">
      <c r="A7" s="481" t="s">
        <v>16</v>
      </c>
      <c r="B7" s="481" t="s">
        <v>17</v>
      </c>
      <c r="C7" s="481"/>
      <c r="D7" s="482">
        <f>SUM('[6]100170_SVI_podrobně'!D23:D45)</f>
        <v>2484080</v>
      </c>
      <c r="E7" s="483"/>
      <c r="F7" s="478"/>
      <c r="G7" s="478"/>
    </row>
    <row r="8" spans="1:7">
      <c r="A8" s="481" t="s">
        <v>18</v>
      </c>
      <c r="B8" s="481" t="s">
        <v>19</v>
      </c>
      <c r="C8" s="481"/>
      <c r="D8" s="482">
        <f>SUM('[6]100170_SVI_podrobně'!D46)</f>
        <v>0</v>
      </c>
      <c r="E8" s="483"/>
      <c r="F8" s="478"/>
      <c r="G8" s="478"/>
    </row>
    <row r="9" spans="1:7">
      <c r="A9" s="479">
        <v>521</v>
      </c>
      <c r="B9" s="481" t="s">
        <v>20</v>
      </c>
      <c r="C9" s="481"/>
      <c r="D9" s="482">
        <v>0</v>
      </c>
      <c r="E9" s="483"/>
      <c r="F9" s="478"/>
      <c r="G9" s="478"/>
    </row>
    <row r="10" spans="1:7">
      <c r="A10" s="479">
        <v>521</v>
      </c>
      <c r="B10" s="481" t="s">
        <v>21</v>
      </c>
      <c r="C10" s="481"/>
      <c r="D10" s="482">
        <v>0</v>
      </c>
      <c r="E10" s="483"/>
      <c r="F10" s="478"/>
      <c r="G10" s="478"/>
    </row>
    <row r="11" spans="1:7">
      <c r="A11" s="481" t="s">
        <v>22</v>
      </c>
      <c r="B11" s="481" t="s">
        <v>23</v>
      </c>
      <c r="C11" s="484"/>
      <c r="D11" s="482">
        <v>0</v>
      </c>
      <c r="E11" s="483"/>
      <c r="F11" s="478"/>
      <c r="G11" s="478"/>
    </row>
    <row r="12" spans="1:7">
      <c r="A12" s="481" t="s">
        <v>24</v>
      </c>
      <c r="B12" s="481" t="s">
        <v>25</v>
      </c>
      <c r="C12" s="484"/>
      <c r="D12" s="482">
        <v>0</v>
      </c>
      <c r="E12" s="483"/>
      <c r="F12" s="478"/>
      <c r="G12" s="478"/>
    </row>
    <row r="13" spans="1:7">
      <c r="A13" s="481" t="s">
        <v>26</v>
      </c>
      <c r="B13" s="481" t="s">
        <v>27</v>
      </c>
      <c r="C13" s="485"/>
      <c r="D13" s="482">
        <f>SUM('[6]100170_SVI_podrobně'!D52:D53)</f>
        <v>2000</v>
      </c>
      <c r="E13" s="483" t="s">
        <v>640</v>
      </c>
      <c r="F13" s="478"/>
      <c r="G13" s="478"/>
    </row>
    <row r="14" spans="1:7">
      <c r="A14" s="481" t="s">
        <v>32</v>
      </c>
      <c r="B14" s="481" t="s">
        <v>33</v>
      </c>
      <c r="C14" s="481"/>
      <c r="D14" s="482">
        <f>SUM('[6]100170_SVI_podrobně'!D57:D62)</f>
        <v>2649459</v>
      </c>
      <c r="E14" s="483"/>
      <c r="F14" s="478"/>
      <c r="G14" s="478"/>
    </row>
    <row r="15" spans="1:7">
      <c r="A15" s="534"/>
      <c r="B15" s="535" t="s">
        <v>36</v>
      </c>
      <c r="C15" s="536"/>
      <c r="D15" s="537">
        <f>SUM(D2:D14)</f>
        <v>5805539</v>
      </c>
      <c r="E15" s="534"/>
    </row>
    <row r="17" spans="1:5">
      <c r="A17" s="538">
        <v>602</v>
      </c>
      <c r="B17" s="598" t="s">
        <v>29</v>
      </c>
      <c r="C17" s="534"/>
      <c r="D17" s="539">
        <f>'[6]100170_SVI_podrobně'!D66</f>
        <v>143000</v>
      </c>
      <c r="E17" s="534"/>
    </row>
    <row r="19" spans="1:5">
      <c r="B19" t="s">
        <v>885</v>
      </c>
    </row>
    <row r="21" spans="1:5">
      <c r="A21" s="583"/>
      <c r="B21" s="583" t="s">
        <v>632</v>
      </c>
      <c r="C21" s="583"/>
      <c r="D21" s="583"/>
    </row>
    <row r="22" spans="1:5">
      <c r="A22" s="585">
        <v>518</v>
      </c>
      <c r="B22" s="589" t="s">
        <v>617</v>
      </c>
      <c r="C22" s="583"/>
      <c r="D22" s="597">
        <v>87120</v>
      </c>
    </row>
    <row r="23" spans="1:5">
      <c r="A23" s="585"/>
      <c r="B23" s="590" t="s">
        <v>618</v>
      </c>
      <c r="C23" s="583"/>
      <c r="D23" s="594">
        <v>34086</v>
      </c>
    </row>
    <row r="24" spans="1:5">
      <c r="A24" s="585"/>
      <c r="B24" s="590" t="s">
        <v>619</v>
      </c>
      <c r="C24" s="583"/>
      <c r="D24" s="594">
        <v>20047</v>
      </c>
    </row>
    <row r="25" spans="1:5">
      <c r="A25" s="585"/>
      <c r="B25" s="590" t="s">
        <v>620</v>
      </c>
      <c r="C25" s="583"/>
      <c r="D25" s="594">
        <v>22687</v>
      </c>
    </row>
    <row r="26" spans="1:5">
      <c r="A26" s="585"/>
      <c r="B26" s="590" t="s">
        <v>621</v>
      </c>
      <c r="C26" s="583"/>
      <c r="D26" s="594">
        <v>12100</v>
      </c>
    </row>
    <row r="27" spans="1:5">
      <c r="A27" s="585"/>
      <c r="B27" s="590" t="s">
        <v>622</v>
      </c>
      <c r="C27" s="583"/>
      <c r="D27" s="595">
        <v>36300</v>
      </c>
    </row>
    <row r="28" spans="1:5">
      <c r="A28" s="585"/>
      <c r="B28" s="580" t="s">
        <v>623</v>
      </c>
      <c r="C28" s="583"/>
      <c r="D28" s="593">
        <v>60000</v>
      </c>
    </row>
    <row r="29" spans="1:5">
      <c r="A29" s="585"/>
      <c r="B29" s="578" t="s">
        <v>624</v>
      </c>
      <c r="C29" s="583"/>
      <c r="D29" s="593">
        <v>5740</v>
      </c>
    </row>
    <row r="30" spans="1:5">
      <c r="A30" s="585"/>
      <c r="B30" s="578" t="s">
        <v>625</v>
      </c>
      <c r="C30" s="583"/>
      <c r="D30" s="593">
        <v>5000</v>
      </c>
    </row>
    <row r="31" spans="1:5">
      <c r="A31" s="585"/>
      <c r="B31" s="578" t="s">
        <v>626</v>
      </c>
      <c r="C31" s="583"/>
      <c r="D31" s="593">
        <v>1916000</v>
      </c>
    </row>
    <row r="32" spans="1:5">
      <c r="A32" s="585"/>
      <c r="B32" s="580" t="s">
        <v>627</v>
      </c>
      <c r="C32" s="583"/>
      <c r="D32" s="596">
        <v>120000</v>
      </c>
    </row>
    <row r="33" spans="1:4">
      <c r="A33" s="585"/>
      <c r="B33" s="580" t="s">
        <v>628</v>
      </c>
      <c r="C33" s="583"/>
      <c r="D33" s="596">
        <v>70000</v>
      </c>
    </row>
    <row r="34" spans="1:4">
      <c r="A34" s="585"/>
      <c r="B34" s="578" t="s">
        <v>629</v>
      </c>
      <c r="C34" s="583"/>
      <c r="D34" s="591">
        <v>15000</v>
      </c>
    </row>
    <row r="35" spans="1:4">
      <c r="A35" s="585"/>
      <c r="B35" s="578" t="s">
        <v>630</v>
      </c>
      <c r="C35" s="583"/>
      <c r="D35" s="591">
        <v>60000</v>
      </c>
    </row>
    <row r="36" spans="1:4">
      <c r="A36" s="585"/>
      <c r="B36" s="578" t="s">
        <v>631</v>
      </c>
      <c r="C36" s="583"/>
      <c r="D36" s="591">
        <v>20000</v>
      </c>
    </row>
    <row r="37" spans="1:4">
      <c r="A37" s="585">
        <v>799</v>
      </c>
      <c r="B37" s="577" t="s">
        <v>634</v>
      </c>
      <c r="C37" s="583"/>
      <c r="D37" s="577">
        <v>60000</v>
      </c>
    </row>
    <row r="38" spans="1:4">
      <c r="A38" s="585"/>
      <c r="B38" s="577" t="s">
        <v>635</v>
      </c>
      <c r="C38" s="583"/>
      <c r="D38" s="592">
        <v>305996</v>
      </c>
    </row>
    <row r="39" spans="1:4">
      <c r="A39" s="585"/>
      <c r="B39" s="577" t="s">
        <v>636</v>
      </c>
      <c r="C39" s="583"/>
      <c r="D39" s="592">
        <v>111523</v>
      </c>
    </row>
    <row r="40" spans="1:4">
      <c r="A40" s="585"/>
      <c r="B40" s="577" t="s">
        <v>637</v>
      </c>
      <c r="C40" s="583"/>
      <c r="D40" s="577">
        <f>1636440+56500+78000</f>
        <v>1770940</v>
      </c>
    </row>
    <row r="41" spans="1:4">
      <c r="A41" s="585"/>
      <c r="B41" s="577" t="s">
        <v>638</v>
      </c>
      <c r="C41" s="583"/>
      <c r="D41" s="577">
        <v>1000</v>
      </c>
    </row>
    <row r="42" spans="1:4">
      <c r="A42" s="585"/>
      <c r="B42" s="577" t="s">
        <v>639</v>
      </c>
      <c r="C42" s="583"/>
      <c r="D42" s="577">
        <v>400000</v>
      </c>
    </row>
  </sheetData>
  <pageMargins left="0.7" right="0.7" top="0.78740157499999996" bottom="0.78740157499999996" header="0.3" footer="0.3"/>
  <pageSetup paperSize="9" scale="98" fitToHeight="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4"/>
  <sheetViews>
    <sheetView workbookViewId="0">
      <selection activeCell="F25" sqref="F25"/>
    </sheetView>
  </sheetViews>
  <sheetFormatPr defaultColWidth="8.7109375" defaultRowHeight="15"/>
  <cols>
    <col min="1" max="1" width="5.42578125" bestFit="1" customWidth="1"/>
    <col min="2" max="2" width="6" bestFit="1" customWidth="1"/>
    <col min="3" max="3" width="31.7109375" bestFit="1" customWidth="1"/>
    <col min="4" max="4" width="5.28515625" bestFit="1" customWidth="1"/>
    <col min="5" max="5" width="13.7109375" bestFit="1" customWidth="1"/>
    <col min="6" max="6" width="42.7109375" customWidth="1"/>
  </cols>
  <sheetData>
    <row r="1" spans="1:6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6">
      <c r="A2" s="474" t="s">
        <v>6</v>
      </c>
      <c r="B2" s="475">
        <v>1305</v>
      </c>
      <c r="C2" s="474" t="s">
        <v>537</v>
      </c>
      <c r="D2" s="474"/>
      <c r="E2" s="476">
        <v>0</v>
      </c>
      <c r="F2" s="477"/>
    </row>
    <row r="3" spans="1:6">
      <c r="A3" s="479">
        <v>501</v>
      </c>
      <c r="B3" s="479">
        <v>1309</v>
      </c>
      <c r="C3" s="480" t="s">
        <v>7</v>
      </c>
      <c r="D3" s="481"/>
      <c r="E3" s="482">
        <f>'[7]100180 - detaily - plán 2018'!G5</f>
        <v>821615.9</v>
      </c>
      <c r="F3" s="483" t="s">
        <v>614</v>
      </c>
    </row>
    <row r="4" spans="1:6">
      <c r="A4" s="481" t="s">
        <v>8</v>
      </c>
      <c r="B4" s="479"/>
      <c r="C4" s="481" t="s">
        <v>9</v>
      </c>
      <c r="D4" s="481"/>
      <c r="E4" s="482">
        <v>0</v>
      </c>
      <c r="F4" s="483"/>
    </row>
    <row r="5" spans="1:6">
      <c r="A5" s="481" t="s">
        <v>10</v>
      </c>
      <c r="B5" s="479"/>
      <c r="C5" s="481" t="s">
        <v>11</v>
      </c>
      <c r="D5" s="481"/>
      <c r="E5" s="482">
        <f>'[7]100180 - detaily - plán 2018'!G59</f>
        <v>164100</v>
      </c>
      <c r="F5" s="483"/>
    </row>
    <row r="6" spans="1:6">
      <c r="A6" s="481" t="s">
        <v>12</v>
      </c>
      <c r="B6" s="479"/>
      <c r="C6" s="481" t="s">
        <v>13</v>
      </c>
      <c r="D6" s="481"/>
      <c r="E6" s="482">
        <v>0</v>
      </c>
      <c r="F6" s="483"/>
    </row>
    <row r="7" spans="1:6">
      <c r="A7" s="481" t="s">
        <v>14</v>
      </c>
      <c r="B7" s="479">
        <v>1401</v>
      </c>
      <c r="C7" s="481" t="s">
        <v>15</v>
      </c>
      <c r="D7" s="481"/>
      <c r="E7" s="482">
        <v>0</v>
      </c>
      <c r="F7" s="492"/>
    </row>
    <row r="8" spans="1:6">
      <c r="A8" s="481" t="s">
        <v>16</v>
      </c>
      <c r="B8" s="479">
        <v>1305</v>
      </c>
      <c r="C8" s="481" t="s">
        <v>538</v>
      </c>
      <c r="D8" s="481"/>
      <c r="E8" s="482">
        <v>0</v>
      </c>
      <c r="F8" s="483"/>
    </row>
    <row r="9" spans="1:6">
      <c r="A9" s="479">
        <v>518</v>
      </c>
      <c r="B9" s="479">
        <v>1314</v>
      </c>
      <c r="C9" s="481" t="s">
        <v>17</v>
      </c>
      <c r="D9" s="481"/>
      <c r="E9" s="482">
        <f>'[7]100180 IT'!$F$9</f>
        <v>645000</v>
      </c>
      <c r="F9" s="483" t="s">
        <v>616</v>
      </c>
    </row>
    <row r="10" spans="1:6">
      <c r="A10" s="481" t="s">
        <v>18</v>
      </c>
      <c r="B10" s="479">
        <v>1301</v>
      </c>
      <c r="C10" s="481" t="s">
        <v>19</v>
      </c>
      <c r="D10" s="481"/>
      <c r="E10" s="482">
        <v>0</v>
      </c>
      <c r="F10" s="483"/>
    </row>
    <row r="11" spans="1:6">
      <c r="A11" s="479">
        <v>521</v>
      </c>
      <c r="B11" s="479">
        <v>1304</v>
      </c>
      <c r="C11" s="481" t="s">
        <v>20</v>
      </c>
      <c r="D11" s="481"/>
      <c r="E11" s="482">
        <f>'[7]100180 IT'!$F$11</f>
        <v>0</v>
      </c>
      <c r="F11" s="483"/>
    </row>
    <row r="12" spans="1:6">
      <c r="A12" s="479">
        <v>521</v>
      </c>
      <c r="B12" s="479">
        <v>1304</v>
      </c>
      <c r="C12" s="481" t="s">
        <v>21</v>
      </c>
      <c r="D12" s="481"/>
      <c r="E12" s="482">
        <v>0</v>
      </c>
      <c r="F12" s="483"/>
    </row>
    <row r="13" spans="1:6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0</v>
      </c>
      <c r="F13" s="483"/>
    </row>
    <row r="14" spans="1:6">
      <c r="A14" s="479">
        <v>524</v>
      </c>
      <c r="B14" s="479">
        <v>1303</v>
      </c>
      <c r="C14" s="481" t="s">
        <v>540</v>
      </c>
      <c r="D14" s="484">
        <v>0.25</v>
      </c>
      <c r="E14" s="482">
        <f>(E10+E13)*D14</f>
        <v>0</v>
      </c>
      <c r="F14" s="483"/>
    </row>
    <row r="15" spans="1:6">
      <c r="A15" s="481" t="s">
        <v>24</v>
      </c>
      <c r="B15" s="479">
        <v>1301</v>
      </c>
      <c r="C15" s="481" t="s">
        <v>541</v>
      </c>
      <c r="D15" s="484"/>
      <c r="E15" s="482">
        <v>0</v>
      </c>
      <c r="F15" s="483"/>
    </row>
    <row r="16" spans="1:6">
      <c r="A16" s="481" t="s">
        <v>26</v>
      </c>
      <c r="B16" s="479">
        <v>1363</v>
      </c>
      <c r="C16" s="481" t="s">
        <v>542</v>
      </c>
      <c r="D16" s="485">
        <v>1.4999999999999999E-2</v>
      </c>
      <c r="E16" s="482">
        <f>(E10+E12)*D16</f>
        <v>0</v>
      </c>
      <c r="F16" s="483"/>
    </row>
    <row r="17" spans="1:6">
      <c r="A17" s="479">
        <v>549</v>
      </c>
      <c r="B17" s="479">
        <v>1309</v>
      </c>
      <c r="C17" s="481" t="s">
        <v>27</v>
      </c>
      <c r="D17" s="481"/>
      <c r="E17" s="482">
        <v>0</v>
      </c>
      <c r="F17" s="483"/>
    </row>
    <row r="18" spans="1:6" ht="15.75" thickBot="1">
      <c r="A18" s="479">
        <v>799</v>
      </c>
      <c r="B18" s="479">
        <v>10003</v>
      </c>
      <c r="C18" s="481" t="s">
        <v>33</v>
      </c>
      <c r="D18" s="481"/>
      <c r="E18" s="482">
        <f>'[7]100180 - detaily - plán 2018'!G65</f>
        <v>363260</v>
      </c>
      <c r="F18" s="486" t="s">
        <v>615</v>
      </c>
    </row>
    <row r="19" spans="1:6">
      <c r="C19" s="487" t="s">
        <v>36</v>
      </c>
      <c r="D19" s="488"/>
      <c r="E19" s="489">
        <f>SUM(E2:E18)</f>
        <v>1993975.9</v>
      </c>
      <c r="F19" s="490"/>
    </row>
    <row r="22" spans="1:6">
      <c r="C22" t="s">
        <v>555</v>
      </c>
    </row>
    <row r="24" spans="1:6">
      <c r="C24" t="s">
        <v>585</v>
      </c>
    </row>
    <row r="25" spans="1:6" ht="33">
      <c r="A25" s="585">
        <v>501</v>
      </c>
      <c r="B25" s="583"/>
      <c r="C25" s="618" t="s">
        <v>844</v>
      </c>
      <c r="D25" s="618"/>
      <c r="E25" s="480">
        <v>582240</v>
      </c>
    </row>
    <row r="26" spans="1:6" ht="33">
      <c r="A26" s="585"/>
      <c r="B26" s="583"/>
      <c r="C26" s="618" t="s">
        <v>845</v>
      </c>
      <c r="D26" s="618"/>
      <c r="E26" s="480">
        <v>191976</v>
      </c>
    </row>
    <row r="27" spans="1:6" ht="22.5">
      <c r="A27" s="585"/>
      <c r="B27" s="583"/>
      <c r="C27" s="618" t="s">
        <v>846</v>
      </c>
      <c r="D27" s="618"/>
      <c r="E27" s="480">
        <v>25000</v>
      </c>
    </row>
    <row r="28" spans="1:6" ht="22.5">
      <c r="A28" s="585"/>
      <c r="B28" s="583"/>
      <c r="C28" s="618" t="s">
        <v>847</v>
      </c>
      <c r="D28" s="618"/>
      <c r="E28" s="480">
        <v>15000</v>
      </c>
    </row>
    <row r="29" spans="1:6" ht="22.5">
      <c r="A29" s="585"/>
      <c r="B29" s="583"/>
      <c r="C29" s="618" t="s">
        <v>848</v>
      </c>
      <c r="D29" s="618"/>
      <c r="E29" s="480">
        <v>5000</v>
      </c>
    </row>
    <row r="30" spans="1:6" ht="22.5">
      <c r="A30" s="585"/>
      <c r="B30" s="583"/>
      <c r="C30" s="618" t="s">
        <v>849</v>
      </c>
      <c r="D30" s="618"/>
      <c r="E30" s="480">
        <v>2400</v>
      </c>
    </row>
    <row r="31" spans="1:6">
      <c r="A31" s="585"/>
      <c r="B31" s="583"/>
      <c r="C31" s="583"/>
      <c r="D31" s="583"/>
      <c r="E31" s="583"/>
    </row>
    <row r="32" spans="1:6" ht="33">
      <c r="A32" s="585">
        <v>511</v>
      </c>
      <c r="B32" s="583"/>
      <c r="C32" s="618" t="s">
        <v>850</v>
      </c>
      <c r="D32" s="618"/>
      <c r="E32" s="618">
        <v>164100</v>
      </c>
    </row>
    <row r="33" spans="1:5">
      <c r="A33" s="585"/>
      <c r="B33" s="583"/>
      <c r="C33" s="583"/>
      <c r="D33" s="583"/>
      <c r="E33" s="583"/>
    </row>
    <row r="34" spans="1:5" ht="22.5">
      <c r="A34" s="585">
        <v>518</v>
      </c>
      <c r="B34" s="583"/>
      <c r="C34" s="618" t="s">
        <v>851</v>
      </c>
      <c r="D34" s="618"/>
      <c r="E34" s="618">
        <v>200000</v>
      </c>
    </row>
    <row r="35" spans="1:5">
      <c r="A35" s="585"/>
      <c r="B35" s="583"/>
      <c r="C35" s="618" t="s">
        <v>852</v>
      </c>
      <c r="D35" s="618"/>
      <c r="E35" s="618">
        <v>75000</v>
      </c>
    </row>
    <row r="36" spans="1:5" ht="22.5">
      <c r="A36" s="585"/>
      <c r="B36" s="583"/>
      <c r="C36" s="618" t="s">
        <v>853</v>
      </c>
      <c r="D36" s="618"/>
      <c r="E36" s="618">
        <v>60000</v>
      </c>
    </row>
    <row r="37" spans="1:5" ht="22.5">
      <c r="A37" s="585"/>
      <c r="B37" s="583"/>
      <c r="C37" s="618" t="s">
        <v>854</v>
      </c>
      <c r="D37" s="618"/>
      <c r="E37" s="618">
        <v>40000</v>
      </c>
    </row>
    <row r="38" spans="1:5" ht="22.5">
      <c r="A38" s="585"/>
      <c r="B38" s="583"/>
      <c r="C38" s="618" t="s">
        <v>855</v>
      </c>
      <c r="D38" s="618"/>
      <c r="E38" s="618">
        <v>30000</v>
      </c>
    </row>
    <row r="39" spans="1:5">
      <c r="A39" s="585"/>
      <c r="B39" s="583"/>
      <c r="C39" s="618" t="s">
        <v>856</v>
      </c>
      <c r="D39" s="618"/>
      <c r="E39" s="618">
        <v>25000</v>
      </c>
    </row>
    <row r="40" spans="1:5">
      <c r="A40" s="585"/>
      <c r="B40" s="583"/>
      <c r="C40" s="618" t="s">
        <v>857</v>
      </c>
      <c r="D40" s="618"/>
      <c r="E40" s="618">
        <v>15000</v>
      </c>
    </row>
    <row r="41" spans="1:5">
      <c r="A41" s="585"/>
      <c r="B41" s="583"/>
      <c r="C41" s="583"/>
      <c r="D41" s="583"/>
      <c r="E41" s="583"/>
    </row>
    <row r="42" spans="1:5">
      <c r="A42" s="585">
        <v>799</v>
      </c>
      <c r="B42" s="583"/>
      <c r="C42" s="618" t="s">
        <v>858</v>
      </c>
      <c r="D42" s="618"/>
      <c r="E42" s="618">
        <v>243260</v>
      </c>
    </row>
    <row r="43" spans="1:5">
      <c r="A43" s="583"/>
      <c r="B43" s="583"/>
      <c r="C43" s="618" t="s">
        <v>859</v>
      </c>
      <c r="D43" s="618"/>
      <c r="E43" s="618">
        <v>120000</v>
      </c>
    </row>
    <row r="44" spans="1:5">
      <c r="A44" s="583"/>
      <c r="B44" s="583"/>
      <c r="C44" s="583"/>
      <c r="D44" s="583"/>
      <c r="E44" s="583"/>
    </row>
  </sheetData>
  <pageMargins left="0.7" right="0.7" top="0.78740157499999996" bottom="0.78740157499999996" header="0.3" footer="0.3"/>
  <pageSetup paperSize="9" scale="8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zoomScale="135" workbookViewId="0">
      <selection activeCell="A15" sqref="A15"/>
    </sheetView>
  </sheetViews>
  <sheetFormatPr defaultColWidth="8.7109375" defaultRowHeight="15"/>
  <cols>
    <col min="1" max="1" width="5.28515625" customWidth="1"/>
    <col min="2" max="2" width="29.42578125" customWidth="1"/>
    <col min="3" max="3" width="7.140625" customWidth="1"/>
    <col min="4" max="4" width="11.7109375" customWidth="1"/>
    <col min="5" max="5" width="55.7109375" bestFit="1" customWidth="1"/>
    <col min="6" max="6" width="20.42578125" bestFit="1" customWidth="1"/>
  </cols>
  <sheetData>
    <row r="1" spans="1:6" ht="12.75" customHeight="1">
      <c r="A1" s="472" t="s">
        <v>2</v>
      </c>
      <c r="B1" s="472" t="s">
        <v>3</v>
      </c>
      <c r="C1" s="472" t="s">
        <v>4</v>
      </c>
      <c r="D1" s="472" t="s">
        <v>5</v>
      </c>
      <c r="E1" s="562" t="s">
        <v>536</v>
      </c>
      <c r="F1" s="557"/>
    </row>
    <row r="2" spans="1:6" ht="12.75" customHeight="1">
      <c r="A2" s="475">
        <v>512</v>
      </c>
      <c r="B2" s="474" t="s">
        <v>556</v>
      </c>
      <c r="C2" s="474"/>
      <c r="D2" s="476">
        <f>'[8]512'!B21</f>
        <v>40000</v>
      </c>
      <c r="E2" s="563" t="s">
        <v>557</v>
      </c>
      <c r="F2" s="558"/>
    </row>
    <row r="3" spans="1:6" ht="12.75" customHeight="1">
      <c r="A3" s="479">
        <v>513</v>
      </c>
      <c r="B3" s="481" t="s">
        <v>558</v>
      </c>
      <c r="C3" s="481"/>
      <c r="D3" s="482">
        <f>'[8]513'!B21</f>
        <v>10000</v>
      </c>
      <c r="E3" s="483"/>
      <c r="F3" s="558"/>
    </row>
    <row r="4" spans="1:6" ht="12.75" customHeight="1">
      <c r="A4" s="479">
        <v>518</v>
      </c>
      <c r="B4" s="481" t="s">
        <v>559</v>
      </c>
      <c r="C4" s="481"/>
      <c r="D4" s="482">
        <f>'[8]518'!B21</f>
        <v>302000</v>
      </c>
      <c r="E4" s="483" t="s">
        <v>560</v>
      </c>
      <c r="F4" s="558"/>
    </row>
    <row r="5" spans="1:6" ht="12.75" customHeight="1">
      <c r="A5" s="479">
        <v>549</v>
      </c>
      <c r="B5" s="481" t="s">
        <v>561</v>
      </c>
      <c r="C5" s="481"/>
      <c r="D5" s="482">
        <f>'[8]549'!B21</f>
        <v>300000</v>
      </c>
      <c r="E5" s="483" t="s">
        <v>562</v>
      </c>
      <c r="F5" s="558"/>
    </row>
    <row r="6" spans="1:6" ht="12.75" customHeight="1">
      <c r="A6" s="479">
        <v>799</v>
      </c>
      <c r="B6" s="481" t="s">
        <v>563</v>
      </c>
      <c r="C6" s="481"/>
      <c r="D6" s="482">
        <f>'[8]799'!B21</f>
        <v>100000</v>
      </c>
      <c r="E6" s="483" t="s">
        <v>564</v>
      </c>
      <c r="F6" s="558"/>
    </row>
    <row r="7" spans="1:6" ht="12.75" customHeight="1">
      <c r="A7" s="479"/>
      <c r="B7" s="481"/>
      <c r="C7" s="481"/>
      <c r="D7" s="482"/>
      <c r="E7" s="483"/>
      <c r="F7" s="558"/>
    </row>
    <row r="8" spans="1:6" ht="12.75" customHeight="1">
      <c r="A8" s="540"/>
      <c r="B8" s="481"/>
      <c r="C8" s="481"/>
      <c r="D8" s="482"/>
      <c r="E8" s="486"/>
      <c r="F8" s="558"/>
    </row>
    <row r="9" spans="1:6" ht="12.75" customHeight="1">
      <c r="B9" s="535" t="s">
        <v>36</v>
      </c>
      <c r="C9" s="536"/>
      <c r="D9" s="541">
        <f>SUM(D2:D8)</f>
        <v>752000</v>
      </c>
      <c r="E9" s="542"/>
      <c r="F9" s="559"/>
    </row>
    <row r="10" spans="1:6" ht="12.75" customHeight="1">
      <c r="E10" s="564"/>
      <c r="F10" s="560"/>
    </row>
    <row r="11" spans="1:6" ht="12.75" customHeight="1">
      <c r="A11" s="543">
        <v>602</v>
      </c>
      <c r="B11" s="543" t="s">
        <v>565</v>
      </c>
      <c r="C11" s="544"/>
      <c r="D11" s="545">
        <v>100000</v>
      </c>
      <c r="E11" s="546" t="s">
        <v>566</v>
      </c>
      <c r="F11" s="561"/>
    </row>
    <row r="12" spans="1:6" ht="12.75" customHeight="1"/>
    <row r="13" spans="1:6" ht="12.75" customHeight="1">
      <c r="B13" t="s">
        <v>884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4"/>
  <sheetViews>
    <sheetView topLeftCell="A4" zoomScale="88" zoomScaleNormal="88" workbookViewId="0">
      <selection activeCell="C33" sqref="C33"/>
    </sheetView>
  </sheetViews>
  <sheetFormatPr defaultColWidth="8.7109375" defaultRowHeight="15"/>
  <cols>
    <col min="1" max="2" width="5.28515625" customWidth="1"/>
    <col min="3" max="3" width="44.7109375" bestFit="1" customWidth="1"/>
    <col min="4" max="4" width="7.140625" customWidth="1"/>
    <col min="5" max="5" width="18" bestFit="1" customWidth="1"/>
    <col min="6" max="6" width="52.7109375" customWidth="1"/>
    <col min="7" max="7" width="17.7109375" bestFit="1" customWidth="1"/>
    <col min="8" max="8" width="20.42578125" bestFit="1" customWidth="1"/>
  </cols>
  <sheetData>
    <row r="1" spans="1:8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8">
      <c r="A2" s="474" t="s">
        <v>6</v>
      </c>
      <c r="B2" s="475">
        <v>1305</v>
      </c>
      <c r="C2" s="474" t="s">
        <v>537</v>
      </c>
      <c r="D2" s="474"/>
      <c r="E2" s="476">
        <f>'[9]100198 podrobně'!F7</f>
        <v>0</v>
      </c>
      <c r="F2" s="477"/>
      <c r="G2" s="478"/>
      <c r="H2" s="478"/>
    </row>
    <row r="3" spans="1:8">
      <c r="A3" s="479">
        <v>501</v>
      </c>
      <c r="B3" s="479">
        <v>1309</v>
      </c>
      <c r="C3" s="480" t="s">
        <v>7</v>
      </c>
      <c r="D3" s="481"/>
      <c r="E3" s="491">
        <f>'[9]100198 podrobně'!F10</f>
        <v>30000</v>
      </c>
      <c r="F3" s="483"/>
      <c r="G3" s="478"/>
      <c r="H3" s="478"/>
    </row>
    <row r="4" spans="1:8">
      <c r="A4" s="481" t="s">
        <v>8</v>
      </c>
      <c r="B4" s="479"/>
      <c r="C4" s="481" t="s">
        <v>9</v>
      </c>
      <c r="D4" s="481"/>
      <c r="E4" s="482">
        <v>0</v>
      </c>
      <c r="F4" s="483"/>
      <c r="G4" s="478"/>
      <c r="H4" s="478"/>
    </row>
    <row r="5" spans="1:8">
      <c r="A5" s="481" t="s">
        <v>10</v>
      </c>
      <c r="B5" s="479"/>
      <c r="C5" s="481" t="s">
        <v>11</v>
      </c>
      <c r="D5" s="481"/>
      <c r="E5" s="482">
        <v>8000000</v>
      </c>
      <c r="F5" s="483" t="s">
        <v>804</v>
      </c>
      <c r="G5" s="478"/>
      <c r="H5" s="478"/>
    </row>
    <row r="6" spans="1:8">
      <c r="A6" s="481" t="s">
        <v>12</v>
      </c>
      <c r="B6" s="479"/>
      <c r="C6" s="481" t="s">
        <v>13</v>
      </c>
      <c r="D6" s="481"/>
      <c r="E6" s="482">
        <f>'[9]100198 podrobně'!F12</f>
        <v>0</v>
      </c>
      <c r="F6" s="483"/>
      <c r="G6" s="478"/>
      <c r="H6" s="478"/>
    </row>
    <row r="7" spans="1:8">
      <c r="A7" s="481" t="s">
        <v>14</v>
      </c>
      <c r="B7" s="479">
        <v>1401</v>
      </c>
      <c r="C7" s="481" t="s">
        <v>15</v>
      </c>
      <c r="D7" s="481"/>
      <c r="E7" s="482">
        <f>'[9]100198 podrobně'!F13</f>
        <v>12000</v>
      </c>
      <c r="F7" s="483" t="s">
        <v>613</v>
      </c>
      <c r="G7" s="478"/>
      <c r="H7" s="478"/>
    </row>
    <row r="8" spans="1:8">
      <c r="A8" s="481" t="s">
        <v>16</v>
      </c>
      <c r="B8" s="479">
        <v>1305</v>
      </c>
      <c r="C8" s="481" t="s">
        <v>538</v>
      </c>
      <c r="D8" s="481"/>
      <c r="E8" s="482">
        <f>'[9]100198 podrobně'!F16</f>
        <v>0</v>
      </c>
      <c r="F8" s="483"/>
      <c r="G8" s="478"/>
      <c r="H8" s="478"/>
    </row>
    <row r="9" spans="1:8">
      <c r="A9" s="479">
        <v>518</v>
      </c>
      <c r="B9" s="479">
        <v>1314</v>
      </c>
      <c r="C9" s="481" t="s">
        <v>17</v>
      </c>
      <c r="D9" s="481"/>
      <c r="E9" s="482">
        <f>7500+714213+242984+'[9]100198 podrobně'!F23-'[9]100198 podrobně'!F16</f>
        <v>1596197</v>
      </c>
      <c r="F9" s="483" t="s">
        <v>612</v>
      </c>
      <c r="G9" s="478"/>
      <c r="H9" s="478"/>
    </row>
    <row r="10" spans="1:8">
      <c r="A10" s="481" t="s">
        <v>18</v>
      </c>
      <c r="B10" s="479">
        <v>1301</v>
      </c>
      <c r="C10" s="481" t="s">
        <v>19</v>
      </c>
      <c r="D10" s="481"/>
      <c r="E10" s="482">
        <f>'[9]100198 podrobně'!F24</f>
        <v>300000</v>
      </c>
      <c r="F10" s="483" t="s">
        <v>609</v>
      </c>
      <c r="G10" s="478"/>
      <c r="H10" s="478"/>
    </row>
    <row r="11" spans="1:8">
      <c r="A11" s="479">
        <v>521</v>
      </c>
      <c r="B11" s="479">
        <v>1304</v>
      </c>
      <c r="C11" s="481" t="s">
        <v>20</v>
      </c>
      <c r="D11" s="481"/>
      <c r="E11" s="482">
        <f>'[10]100010 - mzdy'!C18</f>
        <v>0</v>
      </c>
      <c r="F11" s="483"/>
      <c r="G11" s="478"/>
      <c r="H11" s="478"/>
    </row>
    <row r="12" spans="1:8">
      <c r="A12" s="479">
        <v>521</v>
      </c>
      <c r="B12" s="479">
        <v>1304</v>
      </c>
      <c r="C12" s="481" t="s">
        <v>21</v>
      </c>
      <c r="D12" s="481"/>
      <c r="E12" s="482">
        <f>'[10]100010 - mzdy'!C24</f>
        <v>0</v>
      </c>
      <c r="F12" s="483"/>
      <c r="G12" s="478"/>
      <c r="H12" s="478"/>
    </row>
    <row r="13" spans="1:8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27000</v>
      </c>
      <c r="F13" s="483"/>
      <c r="G13" s="478"/>
      <c r="H13" s="478"/>
    </row>
    <row r="14" spans="1:8">
      <c r="A14" s="479">
        <v>524</v>
      </c>
      <c r="B14" s="479">
        <v>1303</v>
      </c>
      <c r="C14" s="481" t="s">
        <v>540</v>
      </c>
      <c r="D14" s="484">
        <v>0.25</v>
      </c>
      <c r="E14" s="482">
        <f>(E10+E12)*D14</f>
        <v>75000</v>
      </c>
      <c r="F14" s="483"/>
      <c r="G14" s="478"/>
      <c r="H14" s="478"/>
    </row>
    <row r="15" spans="1:8">
      <c r="A15" s="481" t="s">
        <v>24</v>
      </c>
      <c r="B15" s="479">
        <v>1301</v>
      </c>
      <c r="C15" s="481" t="s">
        <v>541</v>
      </c>
      <c r="D15" s="484"/>
      <c r="E15" s="482">
        <f>'[9]100198 podrobně'!F30</f>
        <v>1000000</v>
      </c>
      <c r="F15" s="483" t="s">
        <v>875</v>
      </c>
      <c r="G15" s="478"/>
      <c r="H15" s="478"/>
    </row>
    <row r="16" spans="1:8">
      <c r="A16" s="479">
        <v>528</v>
      </c>
      <c r="B16" s="479"/>
      <c r="C16" s="481" t="s">
        <v>567</v>
      </c>
      <c r="D16" s="484"/>
      <c r="E16" s="482">
        <f>'[9]100198 podrobně'!F33</f>
        <v>3900000</v>
      </c>
      <c r="F16" s="483" t="s">
        <v>568</v>
      </c>
      <c r="G16" s="478"/>
      <c r="H16" s="478"/>
    </row>
    <row r="17" spans="1:8">
      <c r="A17" s="479">
        <v>531</v>
      </c>
      <c r="B17" s="479"/>
      <c r="C17" s="481" t="s">
        <v>569</v>
      </c>
      <c r="D17" s="484"/>
      <c r="E17" s="482">
        <f>'[9]100198 podrobně'!F34</f>
        <v>4000</v>
      </c>
      <c r="F17" s="483"/>
      <c r="G17" s="478"/>
      <c r="H17" s="478"/>
    </row>
    <row r="18" spans="1:8">
      <c r="A18" s="479">
        <v>542</v>
      </c>
      <c r="B18" s="479"/>
      <c r="C18" s="481" t="s">
        <v>570</v>
      </c>
      <c r="D18" s="484"/>
      <c r="E18" s="482">
        <f>'[9]100198 podrobně'!F35</f>
        <v>0</v>
      </c>
      <c r="F18" s="483"/>
      <c r="G18" s="478"/>
      <c r="H18" s="478"/>
    </row>
    <row r="19" spans="1:8">
      <c r="A19" s="479">
        <v>545</v>
      </c>
      <c r="B19" s="479"/>
      <c r="C19" s="481" t="s">
        <v>571</v>
      </c>
      <c r="D19" s="484"/>
      <c r="E19" s="482">
        <f>'[9]100198 podrobně'!F36</f>
        <v>0</v>
      </c>
      <c r="F19" s="483"/>
      <c r="G19" s="478"/>
      <c r="H19" s="478"/>
    </row>
    <row r="20" spans="1:8">
      <c r="A20" s="481" t="s">
        <v>26</v>
      </c>
      <c r="B20" s="479">
        <v>1363</v>
      </c>
      <c r="C20" s="481" t="s">
        <v>542</v>
      </c>
      <c r="D20" s="485">
        <v>1.4999999999999999E-2</v>
      </c>
      <c r="E20" s="482">
        <f>(E10+E12)*D20</f>
        <v>4500</v>
      </c>
      <c r="F20" s="483"/>
      <c r="G20" s="478"/>
      <c r="H20" s="478"/>
    </row>
    <row r="21" spans="1:8">
      <c r="A21" s="479">
        <v>549</v>
      </c>
      <c r="B21" s="479">
        <v>1309</v>
      </c>
      <c r="C21" s="481" t="s">
        <v>27</v>
      </c>
      <c r="D21" s="481"/>
      <c r="E21" s="482">
        <f>'[9]100198 podrobně'!F44-'[9]100198 podrobně'!F42</f>
        <v>100000</v>
      </c>
      <c r="F21" s="483" t="s">
        <v>610</v>
      </c>
      <c r="G21" s="478"/>
      <c r="H21" s="478"/>
    </row>
    <row r="22" spans="1:8">
      <c r="A22" s="479">
        <v>551</v>
      </c>
      <c r="B22" s="479"/>
      <c r="C22" s="481" t="s">
        <v>572</v>
      </c>
      <c r="D22" s="481"/>
      <c r="E22" s="482">
        <f>'[9]100198 podrobně'!F47</f>
        <v>5470888</v>
      </c>
      <c r="F22" s="483"/>
      <c r="G22" s="478"/>
      <c r="H22" s="478"/>
    </row>
    <row r="23" spans="1:8">
      <c r="A23" s="479">
        <v>591</v>
      </c>
      <c r="B23" s="479"/>
      <c r="C23" s="481" t="s">
        <v>514</v>
      </c>
      <c r="D23" s="481"/>
      <c r="E23" s="482">
        <f>'[9]100198 podrobně'!F48</f>
        <v>60000</v>
      </c>
      <c r="F23" s="483"/>
      <c r="G23" s="478"/>
      <c r="H23" s="478"/>
    </row>
    <row r="24" spans="1:8" ht="15.75" thickBot="1">
      <c r="A24" s="479">
        <v>799</v>
      </c>
      <c r="B24" s="479"/>
      <c r="C24" s="481" t="s">
        <v>33</v>
      </c>
      <c r="D24" s="481"/>
      <c r="E24" s="482">
        <f>'[9]100198 podrobně'!F51</f>
        <v>80000</v>
      </c>
      <c r="F24" s="486" t="s">
        <v>611</v>
      </c>
      <c r="G24" s="478"/>
      <c r="H24" s="478"/>
    </row>
    <row r="25" spans="1:8">
      <c r="C25" s="487" t="s">
        <v>36</v>
      </c>
      <c r="D25" s="488"/>
      <c r="E25" s="493">
        <f>SUM(E2:E24)</f>
        <v>20659585</v>
      </c>
      <c r="F25" s="490"/>
    </row>
    <row r="26" spans="1:8">
      <c r="C26" s="650"/>
      <c r="D26" s="651"/>
      <c r="E26" s="652"/>
      <c r="F26" s="490"/>
    </row>
    <row r="27" spans="1:8">
      <c r="C27" s="654" t="s">
        <v>883</v>
      </c>
      <c r="D27" s="651"/>
      <c r="E27" s="652"/>
      <c r="F27" s="490"/>
    </row>
    <row r="29" spans="1:8">
      <c r="A29" s="628">
        <v>602</v>
      </c>
      <c r="B29" s="587"/>
      <c r="C29" s="587" t="s">
        <v>866</v>
      </c>
      <c r="D29" s="587"/>
      <c r="E29" s="478">
        <v>3120833</v>
      </c>
    </row>
    <row r="30" spans="1:8">
      <c r="A30" s="628">
        <v>648</v>
      </c>
      <c r="B30" s="587"/>
      <c r="C30" s="587" t="s">
        <v>515</v>
      </c>
      <c r="D30" s="587"/>
      <c r="E30" s="478">
        <v>977782</v>
      </c>
    </row>
    <row r="31" spans="1:8">
      <c r="A31" s="588">
        <v>649</v>
      </c>
      <c r="B31" s="587"/>
      <c r="C31" s="587" t="s">
        <v>31</v>
      </c>
      <c r="D31" s="587"/>
      <c r="E31" s="478">
        <v>9471945</v>
      </c>
    </row>
    <row r="32" spans="1:8">
      <c r="A32" s="588">
        <v>691</v>
      </c>
      <c r="B32" s="587"/>
      <c r="C32" s="587" t="s">
        <v>870</v>
      </c>
      <c r="D32" s="587"/>
      <c r="E32" s="478">
        <v>896713</v>
      </c>
    </row>
    <row r="34" spans="1:6">
      <c r="C34" t="s">
        <v>573</v>
      </c>
      <c r="F34" s="547"/>
    </row>
    <row r="35" spans="1:6">
      <c r="F35" s="547"/>
    </row>
    <row r="36" spans="1:6">
      <c r="A36" s="587"/>
      <c r="B36" s="587"/>
      <c r="C36" s="587" t="s">
        <v>825</v>
      </c>
      <c r="D36" s="587"/>
      <c r="E36" s="587"/>
    </row>
    <row r="37" spans="1:6">
      <c r="A37" s="588">
        <v>501</v>
      </c>
      <c r="B37" s="587"/>
      <c r="C37" s="587" t="s">
        <v>819</v>
      </c>
      <c r="D37" s="587"/>
      <c r="E37" s="610">
        <v>20000</v>
      </c>
    </row>
    <row r="38" spans="1:6">
      <c r="A38" s="588"/>
      <c r="B38" s="587"/>
      <c r="C38" s="587" t="s">
        <v>841</v>
      </c>
      <c r="D38" s="587"/>
      <c r="E38" s="610">
        <v>10000</v>
      </c>
    </row>
    <row r="39" spans="1:6">
      <c r="A39" s="588">
        <v>511</v>
      </c>
      <c r="B39" s="587"/>
      <c r="C39" s="587" t="s">
        <v>804</v>
      </c>
      <c r="D39" s="587"/>
      <c r="E39" s="610">
        <v>8000000</v>
      </c>
    </row>
    <row r="40" spans="1:6">
      <c r="A40" s="588">
        <v>518</v>
      </c>
      <c r="B40" s="587"/>
      <c r="C40" s="587" t="s">
        <v>817</v>
      </c>
      <c r="D40" s="587"/>
      <c r="E40" s="610">
        <v>300000</v>
      </c>
    </row>
    <row r="41" spans="1:6">
      <c r="A41" s="588"/>
      <c r="B41" s="587"/>
      <c r="C41" s="587" t="s">
        <v>818</v>
      </c>
      <c r="D41" s="587"/>
      <c r="E41" s="610">
        <v>181500</v>
      </c>
    </row>
    <row r="42" spans="1:6">
      <c r="A42" s="588"/>
      <c r="B42" s="587"/>
      <c r="C42" s="587" t="s">
        <v>843</v>
      </c>
      <c r="D42" s="587"/>
      <c r="E42" s="610">
        <v>360480</v>
      </c>
    </row>
    <row r="43" spans="1:6">
      <c r="A43" s="588"/>
      <c r="B43" s="587"/>
      <c r="C43" s="587" t="s">
        <v>842</v>
      </c>
      <c r="D43" s="587"/>
      <c r="E43" s="610">
        <v>754217</v>
      </c>
    </row>
    <row r="44" spans="1:6">
      <c r="A44" s="588"/>
      <c r="B44" s="587"/>
      <c r="C44" s="587"/>
      <c r="D44" s="587"/>
      <c r="E44" s="610"/>
    </row>
    <row r="45" spans="1:6">
      <c r="A45" s="588">
        <v>527</v>
      </c>
      <c r="B45" s="587"/>
      <c r="C45" s="587" t="s">
        <v>820</v>
      </c>
      <c r="D45" s="587"/>
      <c r="E45" s="610">
        <v>800000</v>
      </c>
    </row>
    <row r="46" spans="1:6">
      <c r="A46" s="588"/>
      <c r="B46" s="587"/>
      <c r="C46" s="587" t="s">
        <v>821</v>
      </c>
      <c r="D46" s="587"/>
      <c r="E46" s="610">
        <v>200000</v>
      </c>
    </row>
    <row r="47" spans="1:6">
      <c r="A47" s="588">
        <v>549</v>
      </c>
      <c r="B47" s="587"/>
      <c r="C47" s="587" t="s">
        <v>822</v>
      </c>
      <c r="D47" s="587"/>
      <c r="E47" s="610">
        <v>80000</v>
      </c>
    </row>
    <row r="48" spans="1:6">
      <c r="A48" s="588"/>
      <c r="B48" s="587"/>
      <c r="C48" s="587" t="s">
        <v>823</v>
      </c>
      <c r="D48" s="587"/>
      <c r="E48" s="610">
        <v>10000</v>
      </c>
    </row>
    <row r="49" spans="1:5">
      <c r="A49" s="587"/>
      <c r="B49" s="587"/>
      <c r="C49" s="587" t="s">
        <v>824</v>
      </c>
      <c r="D49" s="587"/>
      <c r="E49" s="610">
        <v>10000</v>
      </c>
    </row>
    <row r="50" spans="1:5">
      <c r="A50" s="587"/>
      <c r="B50" s="587"/>
      <c r="C50" s="587"/>
      <c r="D50" s="587"/>
      <c r="E50" s="610"/>
    </row>
    <row r="51" spans="1:5">
      <c r="E51" s="610"/>
    </row>
    <row r="52" spans="1:5">
      <c r="A52" s="588">
        <v>602</v>
      </c>
      <c r="C52" s="587" t="s">
        <v>864</v>
      </c>
      <c r="E52" s="610">
        <v>2920833</v>
      </c>
    </row>
    <row r="53" spans="1:5">
      <c r="C53" s="587" t="s">
        <v>865</v>
      </c>
      <c r="E53" s="610">
        <v>200000</v>
      </c>
    </row>
    <row r="54" spans="1:5">
      <c r="E54" s="610"/>
    </row>
    <row r="55" spans="1:5">
      <c r="A55" s="588">
        <v>649</v>
      </c>
      <c r="B55" s="587"/>
      <c r="C55" s="587" t="s">
        <v>77</v>
      </c>
      <c r="D55" s="587"/>
      <c r="E55" s="610">
        <v>7000000</v>
      </c>
    </row>
    <row r="56" spans="1:5">
      <c r="A56" s="587"/>
      <c r="B56" s="587"/>
      <c r="C56" s="587" t="s">
        <v>867</v>
      </c>
      <c r="D56" s="587"/>
      <c r="E56" s="610">
        <v>2471945</v>
      </c>
    </row>
    <row r="57" spans="1:5">
      <c r="E57" s="610"/>
    </row>
    <row r="58" spans="1:5">
      <c r="E58" s="610"/>
    </row>
    <row r="59" spans="1:5">
      <c r="E59" s="610"/>
    </row>
    <row r="60" spans="1:5">
      <c r="E60" s="610"/>
    </row>
    <row r="61" spans="1:5">
      <c r="E61" s="610"/>
    </row>
    <row r="62" spans="1:5">
      <c r="E62" s="610"/>
    </row>
    <row r="63" spans="1:5">
      <c r="E63" s="575"/>
    </row>
    <row r="64" spans="1:5">
      <c r="E64" s="575"/>
    </row>
    <row r="65" spans="5:5">
      <c r="E65" s="575"/>
    </row>
    <row r="66" spans="5:5">
      <c r="E66" s="575"/>
    </row>
    <row r="67" spans="5:5">
      <c r="E67" s="575"/>
    </row>
    <row r="68" spans="5:5">
      <c r="E68" s="575"/>
    </row>
    <row r="69" spans="5:5">
      <c r="E69" s="575"/>
    </row>
    <row r="70" spans="5:5">
      <c r="E70" s="575"/>
    </row>
    <row r="71" spans="5:5">
      <c r="E71" s="575"/>
    </row>
    <row r="72" spans="5:5">
      <c r="E72" s="575"/>
    </row>
    <row r="73" spans="5:5">
      <c r="E73" s="575"/>
    </row>
    <row r="74" spans="5:5">
      <c r="E74" s="575"/>
    </row>
  </sheetData>
  <pageMargins left="0.7" right="0.7" top="0.78740157499999996" bottom="0.78740157499999996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161"/>
    <pageSetUpPr fitToPage="1"/>
  </sheetPr>
  <dimension ref="A1:T14"/>
  <sheetViews>
    <sheetView tabSelected="1" workbookViewId="0">
      <selection activeCell="L12" sqref="L12"/>
    </sheetView>
  </sheetViews>
  <sheetFormatPr defaultColWidth="19.42578125" defaultRowHeight="14.65" customHeight="1"/>
  <cols>
    <col min="1" max="1" width="9.42578125" style="4" customWidth="1"/>
    <col min="2" max="3" width="9.140625" style="2" bestFit="1" customWidth="1"/>
    <col min="4" max="7" width="8.28515625" style="2" customWidth="1"/>
    <col min="8" max="8" width="9.140625" style="2" bestFit="1" customWidth="1"/>
    <col min="9" max="14" width="8.28515625" style="2" customWidth="1"/>
    <col min="15" max="15" width="9.140625" style="2" bestFit="1" customWidth="1"/>
    <col min="16" max="16" width="11.28515625" style="2" bestFit="1" customWidth="1"/>
    <col min="17" max="17" width="8.28515625" style="2" customWidth="1"/>
    <col min="18" max="18" width="8.28515625" style="3" customWidth="1"/>
    <col min="19" max="19" width="9.42578125" style="2" customWidth="1"/>
    <col min="20" max="21" width="10" style="2" customWidth="1"/>
    <col min="22" max="22" width="10.140625" style="2" customWidth="1"/>
    <col min="23" max="16384" width="19.42578125" style="2"/>
  </cols>
  <sheetData>
    <row r="1" spans="1:20" s="6" customFormat="1" ht="28.5" customHeight="1">
      <c r="A1" s="674" t="s">
        <v>525</v>
      </c>
      <c r="B1" s="676" t="s">
        <v>64</v>
      </c>
      <c r="C1" s="676"/>
      <c r="D1" s="676"/>
      <c r="E1" s="676"/>
      <c r="F1" s="677" t="s">
        <v>63</v>
      </c>
      <c r="G1" s="676"/>
      <c r="H1" s="676"/>
      <c r="I1" s="676"/>
      <c r="J1" s="678"/>
      <c r="K1" s="677" t="s">
        <v>62</v>
      </c>
      <c r="L1" s="676"/>
      <c r="M1" s="676"/>
      <c r="N1" s="678"/>
      <c r="O1" s="679" t="s">
        <v>61</v>
      </c>
      <c r="P1" s="680"/>
      <c r="Q1" s="680"/>
      <c r="R1" s="681"/>
      <c r="S1" s="674" t="s">
        <v>525</v>
      </c>
    </row>
    <row r="2" spans="1:20" s="3" customFormat="1" ht="29.25" customHeight="1" thickBot="1">
      <c r="A2" s="675"/>
      <c r="B2" s="70">
        <v>2017</v>
      </c>
      <c r="C2" s="358">
        <v>2018</v>
      </c>
      <c r="D2" s="69" t="s">
        <v>56</v>
      </c>
      <c r="E2" s="71" t="s">
        <v>55</v>
      </c>
      <c r="F2" s="73" t="s">
        <v>60</v>
      </c>
      <c r="G2" s="69" t="s">
        <v>59</v>
      </c>
      <c r="H2" s="409" t="s">
        <v>58</v>
      </c>
      <c r="I2" s="69" t="s">
        <v>57</v>
      </c>
      <c r="J2" s="68" t="s">
        <v>55</v>
      </c>
      <c r="K2" s="72">
        <v>2017</v>
      </c>
      <c r="L2" s="358">
        <v>2018</v>
      </c>
      <c r="M2" s="71" t="s">
        <v>56</v>
      </c>
      <c r="N2" s="68" t="s">
        <v>55</v>
      </c>
      <c r="O2" s="70">
        <v>2017</v>
      </c>
      <c r="P2" s="358">
        <v>2018</v>
      </c>
      <c r="Q2" s="69" t="s">
        <v>54</v>
      </c>
      <c r="R2" s="68" t="s">
        <v>53</v>
      </c>
      <c r="S2" s="675"/>
    </row>
    <row r="3" spans="1:20" ht="14.65" customHeight="1" thickTop="1">
      <c r="A3" s="67" t="s">
        <v>39</v>
      </c>
      <c r="B3" s="60">
        <v>19087434</v>
      </c>
      <c r="C3" s="60">
        <f>'Vzdělávací činnost'!E7</f>
        <v>22275009.095739443</v>
      </c>
      <c r="D3" s="65">
        <f>C3-B3</f>
        <v>3187575.0957394429</v>
      </c>
      <c r="E3" s="66">
        <f>-1+C3/B3</f>
        <v>0.16699861782046987</v>
      </c>
      <c r="F3" s="63">
        <f>0.95*B3</f>
        <v>18133062.300000001</v>
      </c>
      <c r="G3" s="65" t="str">
        <f>IF(C3&gt;F3,"NE","ANO")</f>
        <v>NE</v>
      </c>
      <c r="H3" s="65">
        <f>IF(G3="ANO",F3,C3)</f>
        <v>22275009.095739443</v>
      </c>
      <c r="I3" s="65">
        <f>H3-C3</f>
        <v>0</v>
      </c>
      <c r="J3" s="64">
        <f>-1+H3/B3</f>
        <v>0.16699861782046987</v>
      </c>
      <c r="K3" s="264">
        <v>9276763</v>
      </c>
      <c r="L3" s="65">
        <f>'Podpora vědy'!E16</f>
        <v>8448555</v>
      </c>
      <c r="M3" s="62">
        <f>L3-K3</f>
        <v>-828208</v>
      </c>
      <c r="N3" s="61">
        <f>-1+L3/K3</f>
        <v>-8.9277693091868393E-2</v>
      </c>
      <c r="O3" s="60">
        <f>B3+K3</f>
        <v>28364197</v>
      </c>
      <c r="P3" s="59">
        <f>H3+L3</f>
        <v>30723564.095739443</v>
      </c>
      <c r="Q3" s="58">
        <f>P3-O3</f>
        <v>2359367.0957394429</v>
      </c>
      <c r="R3" s="57">
        <f>-1+P3/O3</f>
        <v>8.3181170111723768E-2</v>
      </c>
      <c r="S3" s="56" t="s">
        <v>39</v>
      </c>
    </row>
    <row r="4" spans="1:20" ht="14.65" customHeight="1">
      <c r="A4" s="41" t="s">
        <v>52</v>
      </c>
      <c r="B4" s="35">
        <v>24540839</v>
      </c>
      <c r="C4" s="359">
        <f>'Vzdělávací činnost'!E8</f>
        <v>29243392.586864017</v>
      </c>
      <c r="D4" s="33">
        <f>C4-B4</f>
        <v>4702553.586864017</v>
      </c>
      <c r="E4" s="40">
        <f>-1+C4/B4</f>
        <v>0.19162154915991336</v>
      </c>
      <c r="F4" s="39">
        <f>0.95*B4</f>
        <v>23313797.050000001</v>
      </c>
      <c r="G4" s="33" t="str">
        <f>IF(C4&gt;F4,"NE","ANO")</f>
        <v>NE</v>
      </c>
      <c r="H4" s="360">
        <f>IF(G4="ANO",F4,C4)</f>
        <v>29243392.586864017</v>
      </c>
      <c r="I4" s="55">
        <f>H4-C4</f>
        <v>0</v>
      </c>
      <c r="J4" s="38">
        <f>-1+H4/B4</f>
        <v>0.19162154915991336</v>
      </c>
      <c r="K4" s="118">
        <v>3890792</v>
      </c>
      <c r="L4" s="407">
        <f>'Podpora vědy'!E17</f>
        <v>4675983</v>
      </c>
      <c r="M4" s="54">
        <f>L4-K4</f>
        <v>785191</v>
      </c>
      <c r="N4" s="53">
        <f>-1+L4/K4</f>
        <v>0.20180749831910827</v>
      </c>
      <c r="O4" s="35">
        <f>B4+K4</f>
        <v>28431631</v>
      </c>
      <c r="P4" s="34">
        <f>H4+L4</f>
        <v>33919375.586864017</v>
      </c>
      <c r="Q4" s="33">
        <f>P4-O4</f>
        <v>5487744.586864017</v>
      </c>
      <c r="R4" s="32">
        <f>-1+P4/O4</f>
        <v>0.19301546882287601</v>
      </c>
      <c r="S4" s="31" t="s">
        <v>52</v>
      </c>
    </row>
    <row r="5" spans="1:20" ht="14.65" customHeight="1">
      <c r="A5" s="52" t="s">
        <v>41</v>
      </c>
      <c r="B5" s="45">
        <v>18552438</v>
      </c>
      <c r="C5" s="45">
        <f>'Vzdělávací činnost'!E9</f>
        <v>22071632.363335192</v>
      </c>
      <c r="D5" s="43">
        <f>C5-B5</f>
        <v>3519194.3633351922</v>
      </c>
      <c r="E5" s="51">
        <f>-1+C5/B5</f>
        <v>0.18968905128992719</v>
      </c>
      <c r="F5" s="48">
        <f>0.95*B5</f>
        <v>17624816.099999998</v>
      </c>
      <c r="G5" s="43" t="str">
        <f>IF(C5&gt;F5,"NE","ANO")</f>
        <v>NE</v>
      </c>
      <c r="H5" s="43">
        <f>IF(G5="ANO",F5,C5)</f>
        <v>22071632.363335192</v>
      </c>
      <c r="I5" s="50">
        <f>H5-C5</f>
        <v>0</v>
      </c>
      <c r="J5" s="49">
        <f>-1+H5/B5</f>
        <v>0.18968905128992719</v>
      </c>
      <c r="K5" s="264">
        <v>7325896.8248100001</v>
      </c>
      <c r="L5" s="65">
        <f>'Podpora vědy'!E18</f>
        <v>6535478</v>
      </c>
      <c r="M5" s="47">
        <f>L5-K5</f>
        <v>-790418.82481000014</v>
      </c>
      <c r="N5" s="46">
        <f>-1+L5/K5</f>
        <v>-0.10789379699331214</v>
      </c>
      <c r="O5" s="45">
        <f>B5+K5</f>
        <v>25878334.824809998</v>
      </c>
      <c r="P5" s="44">
        <f>H5+L5</f>
        <v>28607110.363335192</v>
      </c>
      <c r="Q5" s="43">
        <f>P5-O5</f>
        <v>2728775.5385251939</v>
      </c>
      <c r="R5" s="406">
        <f>-1+P5/O5</f>
        <v>0.10544633404731552</v>
      </c>
      <c r="S5" s="42" t="s">
        <v>41</v>
      </c>
    </row>
    <row r="6" spans="1:20" ht="14.65" customHeight="1" thickBot="1">
      <c r="A6" s="41" t="s">
        <v>42</v>
      </c>
      <c r="B6" s="35">
        <v>22377959</v>
      </c>
      <c r="C6" s="359">
        <f>'Vzdělávací činnost'!E10</f>
        <v>29296641.32454548</v>
      </c>
      <c r="D6" s="33">
        <f>C6-B6</f>
        <v>6918682.3245454803</v>
      </c>
      <c r="E6" s="40">
        <f>-1+C6/B6</f>
        <v>0.30917396553213283</v>
      </c>
      <c r="F6" s="39">
        <f>0.95*B6</f>
        <v>21259061.050000001</v>
      </c>
      <c r="G6" s="33" t="str">
        <f>IF(C6&gt;F6,"NE","ANO")</f>
        <v>NE</v>
      </c>
      <c r="H6" s="360">
        <f>IF(G6="ANO",F6,C6)</f>
        <v>29296641.32454548</v>
      </c>
      <c r="I6" s="33">
        <f>H6-C6</f>
        <v>0</v>
      </c>
      <c r="J6" s="38">
        <f>-1+H6/B6</f>
        <v>0.30917396553213283</v>
      </c>
      <c r="K6" s="118">
        <v>5518783.2186899995</v>
      </c>
      <c r="L6" s="408">
        <f>'Podpora vědy'!E19</f>
        <v>6017288</v>
      </c>
      <c r="M6" s="37">
        <f>L6-K6</f>
        <v>498504.78131000046</v>
      </c>
      <c r="N6" s="36">
        <f>-1+L6/K6</f>
        <v>9.0328748486035115E-2</v>
      </c>
      <c r="O6" s="35">
        <f>B6+K6</f>
        <v>27896742.21869</v>
      </c>
      <c r="P6" s="34">
        <f>H6+L6</f>
        <v>35313929.32454548</v>
      </c>
      <c r="Q6" s="33">
        <f>P6-O6</f>
        <v>7417187.1058554798</v>
      </c>
      <c r="R6" s="32">
        <f>-1+P6/O6</f>
        <v>0.26588004605377114</v>
      </c>
      <c r="S6" s="31" t="s">
        <v>42</v>
      </c>
    </row>
    <row r="7" spans="1:20" ht="14.65" customHeight="1" thickBot="1">
      <c r="A7" s="30" t="s">
        <v>40</v>
      </c>
      <c r="B7" s="29">
        <v>11992123</v>
      </c>
      <c r="C7" s="29">
        <f>'Vzdělávací činnost'!E11</f>
        <v>13543402.588890858</v>
      </c>
      <c r="D7" s="21">
        <f>C7-B7</f>
        <v>1551279.588890858</v>
      </c>
      <c r="E7" s="28">
        <f>-1+C7/B7</f>
        <v>0.1293582119605392</v>
      </c>
      <c r="F7" s="23">
        <f>0.95*B7</f>
        <v>11392516.85</v>
      </c>
      <c r="G7" s="21" t="str">
        <f>IF(C7&gt;F7,"NE","ANO")</f>
        <v>NE</v>
      </c>
      <c r="H7" s="21">
        <f>IF(G7="ANO",F7,C7)</f>
        <v>13543402.588890858</v>
      </c>
      <c r="I7" s="27">
        <f>H7-C7</f>
        <v>0</v>
      </c>
      <c r="J7" s="26">
        <f>-1+H7/B7</f>
        <v>0.1293582119605392</v>
      </c>
      <c r="K7" s="25">
        <v>4690022</v>
      </c>
      <c r="L7" s="357">
        <f>'Podpora vědy'!E20+'Podpora vědy'!E21</f>
        <v>3960271</v>
      </c>
      <c r="M7" s="24">
        <f>L7-K7</f>
        <v>-729751</v>
      </c>
      <c r="N7" s="405">
        <f>-1+L7/K7</f>
        <v>-0.15559649826802513</v>
      </c>
      <c r="O7" s="23">
        <f>B7+K7</f>
        <v>16682145</v>
      </c>
      <c r="P7" s="22">
        <f>H7+L7</f>
        <v>17503673.588890858</v>
      </c>
      <c r="Q7" s="21">
        <f>P7-O7</f>
        <v>821528.58889085799</v>
      </c>
      <c r="R7" s="456">
        <f>-1+P7/O7</f>
        <v>4.9245980591276384E-2</v>
      </c>
      <c r="S7" s="20" t="s">
        <v>40</v>
      </c>
    </row>
    <row r="8" spans="1:20" ht="6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9"/>
      <c r="Q8" s="5"/>
      <c r="R8" s="9"/>
    </row>
    <row r="9" spans="1:20" ht="14.65" customHeight="1">
      <c r="A9" s="15" t="s">
        <v>51</v>
      </c>
      <c r="B9" s="12">
        <f>SUM(B3:B7)</f>
        <v>96550793</v>
      </c>
      <c r="C9" s="12">
        <f>SUM(C3:C7)</f>
        <v>116430077.95937499</v>
      </c>
      <c r="D9" s="12">
        <f>SUM(D3:D7)</f>
        <v>19879284.95937499</v>
      </c>
      <c r="E9" s="14">
        <f>-1+C9/B9</f>
        <v>0.20589457985471959</v>
      </c>
      <c r="F9" s="5"/>
      <c r="G9" s="5"/>
      <c r="H9" s="12">
        <f>SUM(H3:H7)</f>
        <v>116430077.95937499</v>
      </c>
      <c r="I9" s="55">
        <f>SUM(I3:I7)</f>
        <v>0</v>
      </c>
      <c r="J9" s="14">
        <f>-1+H9/B9</f>
        <v>0.20589457985471959</v>
      </c>
      <c r="K9" s="12">
        <f>SUM(K3:K7)</f>
        <v>30702257.043499999</v>
      </c>
      <c r="L9" s="12">
        <f>SUM(L3:L7)</f>
        <v>29637575</v>
      </c>
      <c r="M9" s="12">
        <f>SUM(M3:M7)</f>
        <v>-1064682.0434999997</v>
      </c>
      <c r="N9" s="12"/>
      <c r="O9" s="12">
        <f>SUM(O3:O7)</f>
        <v>127253050.04350001</v>
      </c>
      <c r="P9" s="13">
        <f>SUM(P3:P7)</f>
        <v>146067652.95937499</v>
      </c>
      <c r="Q9" s="12">
        <f>SUM(Q3:Q7)</f>
        <v>18814602.915874992</v>
      </c>
      <c r="R9" s="11">
        <f>-1+P9/O9</f>
        <v>0.14785188181692632</v>
      </c>
      <c r="S9" s="10" t="s">
        <v>51</v>
      </c>
    </row>
    <row r="10" spans="1:20" ht="6" customHeight="1">
      <c r="A10" s="18"/>
      <c r="P10" s="17"/>
      <c r="Q10" s="5"/>
      <c r="R10" s="16"/>
    </row>
    <row r="11" spans="1:20" ht="14.65" customHeight="1">
      <c r="A11" s="15" t="s">
        <v>50</v>
      </c>
      <c r="B11" s="12">
        <v>173375939</v>
      </c>
      <c r="C11" s="12">
        <f>'Vzdělávací činnost'!E3</f>
        <v>204010745</v>
      </c>
      <c r="D11" s="12">
        <f>C11-B11</f>
        <v>30634806</v>
      </c>
      <c r="E11" s="14">
        <f>-1+C11/B11</f>
        <v>0.17669583320901294</v>
      </c>
      <c r="F11" s="5"/>
      <c r="G11" s="5"/>
      <c r="H11" s="5"/>
      <c r="I11" s="5"/>
      <c r="J11" s="5"/>
      <c r="K11" s="12">
        <v>42690206</v>
      </c>
      <c r="L11" s="12">
        <f>'Podpora vědy'!C5</f>
        <v>47233427</v>
      </c>
      <c r="M11" s="12">
        <f>L11-K11</f>
        <v>4543221</v>
      </c>
      <c r="N11" s="12"/>
      <c r="O11" s="12">
        <f>B11+K11</f>
        <v>216066145</v>
      </c>
      <c r="P11" s="13">
        <f>C11+L11</f>
        <v>251244172</v>
      </c>
      <c r="Q11" s="12">
        <f>D11+M11</f>
        <v>35178027</v>
      </c>
      <c r="R11" s="11">
        <f>-1+P11/O11</f>
        <v>0.16281137889510644</v>
      </c>
      <c r="S11" s="10" t="s">
        <v>50</v>
      </c>
    </row>
    <row r="12" spans="1:20" ht="6" customHeight="1" thickBot="1">
      <c r="Q12" s="5"/>
      <c r="R12" s="9"/>
    </row>
    <row r="13" spans="1:20" s="3" customFormat="1" ht="29.25" customHeight="1" thickBot="1">
      <c r="A13" s="8" t="s">
        <v>49</v>
      </c>
      <c r="B13" s="7">
        <f>I9</f>
        <v>0</v>
      </c>
      <c r="R13" s="6"/>
      <c r="S13" s="6"/>
      <c r="T13" s="6"/>
    </row>
    <row r="14" spans="1:20" ht="14.65" customHeight="1">
      <c r="K14" s="5"/>
      <c r="L14" s="5"/>
    </row>
  </sheetData>
  <mergeCells count="6">
    <mergeCell ref="S1:S2"/>
    <mergeCell ref="A1:A2"/>
    <mergeCell ref="B1:E1"/>
    <mergeCell ref="F1:J1"/>
    <mergeCell ref="K1:N1"/>
    <mergeCell ref="O1:R1"/>
  </mergeCells>
  <pageMargins left="0.7" right="0.7" top="0.78740157499999996" bottom="0.78740157499999996" header="0.3" footer="0.3"/>
  <pageSetup paperSize="9" scale="79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"/>
  <sheetViews>
    <sheetView zoomScale="83" zoomScaleNormal="83" workbookViewId="0">
      <selection activeCell="E12" sqref="E12"/>
    </sheetView>
  </sheetViews>
  <sheetFormatPr defaultColWidth="8.7109375" defaultRowHeight="15"/>
  <cols>
    <col min="1" max="1" width="5.28515625" customWidth="1"/>
    <col min="2" max="2" width="44.7109375" bestFit="1" customWidth="1"/>
    <col min="3" max="3" width="7.140625" customWidth="1"/>
    <col min="4" max="4" width="18" bestFit="1" customWidth="1"/>
    <col min="5" max="5" width="90.7109375" bestFit="1" customWidth="1"/>
    <col min="6" max="6" width="17.7109375" bestFit="1" customWidth="1"/>
    <col min="7" max="7" width="20.42578125" bestFit="1" customWidth="1"/>
  </cols>
  <sheetData>
    <row r="1" spans="1:7">
      <c r="A1" s="472" t="s">
        <v>2</v>
      </c>
      <c r="B1" s="472" t="s">
        <v>3</v>
      </c>
      <c r="C1" s="472" t="s">
        <v>4</v>
      </c>
      <c r="D1" s="472" t="s">
        <v>511</v>
      </c>
      <c r="E1" s="473" t="s">
        <v>536</v>
      </c>
    </row>
    <row r="2" spans="1:7">
      <c r="A2" s="474" t="s">
        <v>6</v>
      </c>
      <c r="B2" s="474" t="s">
        <v>537</v>
      </c>
      <c r="C2" s="474"/>
      <c r="D2" s="476">
        <v>0</v>
      </c>
      <c r="E2" s="477"/>
      <c r="F2" s="478"/>
      <c r="G2" s="478"/>
    </row>
    <row r="3" spans="1:7">
      <c r="A3" s="479">
        <v>501</v>
      </c>
      <c r="B3" s="480" t="s">
        <v>7</v>
      </c>
      <c r="C3" s="481"/>
      <c r="D3" s="482">
        <v>0</v>
      </c>
      <c r="E3" s="483"/>
      <c r="F3" s="478"/>
      <c r="G3" s="478"/>
    </row>
    <row r="4" spans="1:7">
      <c r="A4" s="481" t="s">
        <v>8</v>
      </c>
      <c r="B4" s="481" t="s">
        <v>9</v>
      </c>
      <c r="C4" s="481"/>
      <c r="D4" s="482">
        <v>0</v>
      </c>
      <c r="E4" s="483"/>
      <c r="F4" s="478"/>
      <c r="G4" s="478"/>
    </row>
    <row r="5" spans="1:7">
      <c r="A5" s="481" t="s">
        <v>10</v>
      </c>
      <c r="B5" s="481" t="s">
        <v>11</v>
      </c>
      <c r="C5" s="481"/>
      <c r="D5" s="482">
        <v>0</v>
      </c>
      <c r="E5" s="483"/>
      <c r="F5" s="478"/>
      <c r="G5" s="478"/>
    </row>
    <row r="6" spans="1:7">
      <c r="A6" s="481" t="s">
        <v>12</v>
      </c>
      <c r="B6" s="481" t="s">
        <v>13</v>
      </c>
      <c r="C6" s="481"/>
      <c r="D6" s="482">
        <v>0</v>
      </c>
      <c r="E6" s="483"/>
      <c r="F6" s="478"/>
      <c r="G6" s="478"/>
    </row>
    <row r="7" spans="1:7">
      <c r="A7" s="481" t="s">
        <v>14</v>
      </c>
      <c r="B7" s="481" t="s">
        <v>15</v>
      </c>
      <c r="C7" s="481"/>
      <c r="D7" s="482">
        <v>0</v>
      </c>
      <c r="E7" s="483"/>
      <c r="F7" s="478"/>
      <c r="G7" s="478"/>
    </row>
    <row r="8" spans="1:7">
      <c r="A8" s="481" t="s">
        <v>16</v>
      </c>
      <c r="B8" s="481" t="s">
        <v>538</v>
      </c>
      <c r="C8" s="481"/>
      <c r="D8" s="482">
        <v>0</v>
      </c>
      <c r="E8" s="483"/>
      <c r="F8" s="478"/>
      <c r="G8" s="478"/>
    </row>
    <row r="9" spans="1:7">
      <c r="A9" s="479">
        <v>518</v>
      </c>
      <c r="B9" s="481" t="s">
        <v>17</v>
      </c>
      <c r="C9" s="481"/>
      <c r="D9" s="482">
        <f>800000+210000-400000</f>
        <v>610000</v>
      </c>
      <c r="E9" s="548" t="s">
        <v>840</v>
      </c>
      <c r="F9" s="478"/>
      <c r="G9" s="478"/>
    </row>
    <row r="10" spans="1:7">
      <c r="A10" s="481" t="s">
        <v>18</v>
      </c>
      <c r="B10" s="481" t="s">
        <v>19</v>
      </c>
      <c r="C10" s="481"/>
      <c r="D10" s="482">
        <v>0</v>
      </c>
      <c r="E10" s="483"/>
      <c r="F10" s="478"/>
      <c r="G10" s="478"/>
    </row>
    <row r="11" spans="1:7">
      <c r="A11" s="479">
        <v>521</v>
      </c>
      <c r="B11" s="481" t="s">
        <v>20</v>
      </c>
      <c r="C11" s="481"/>
      <c r="D11" s="482">
        <v>0</v>
      </c>
      <c r="E11" s="483"/>
      <c r="F11" s="478"/>
      <c r="G11" s="478"/>
    </row>
    <row r="12" spans="1:7">
      <c r="A12" s="479">
        <v>521</v>
      </c>
      <c r="B12" s="481" t="s">
        <v>21</v>
      </c>
      <c r="C12" s="481"/>
      <c r="D12" s="482">
        <v>0</v>
      </c>
      <c r="E12" s="483"/>
      <c r="F12" s="478"/>
      <c r="G12" s="478"/>
    </row>
    <row r="13" spans="1:7">
      <c r="A13" s="481" t="s">
        <v>22</v>
      </c>
      <c r="B13" s="481" t="s">
        <v>539</v>
      </c>
      <c r="C13" s="484">
        <v>0.09</v>
      </c>
      <c r="D13" s="482">
        <f>(D10+D12)*C13</f>
        <v>0</v>
      </c>
      <c r="E13" s="483"/>
      <c r="F13" s="478"/>
      <c r="G13" s="478"/>
    </row>
    <row r="14" spans="1:7">
      <c r="A14" s="479">
        <v>524</v>
      </c>
      <c r="B14" s="481" t="s">
        <v>540</v>
      </c>
      <c r="C14" s="484">
        <v>0.25</v>
      </c>
      <c r="D14" s="482">
        <f>(D11+D13)*C14</f>
        <v>0</v>
      </c>
      <c r="E14" s="483"/>
      <c r="F14" s="478"/>
      <c r="G14" s="478"/>
    </row>
    <row r="15" spans="1:7">
      <c r="A15" s="481" t="s">
        <v>24</v>
      </c>
      <c r="B15" s="481" t="s">
        <v>608</v>
      </c>
      <c r="C15" s="484"/>
      <c r="D15" s="482">
        <v>0</v>
      </c>
      <c r="E15" s="483"/>
      <c r="F15" s="478"/>
      <c r="G15" s="478"/>
    </row>
    <row r="16" spans="1:7">
      <c r="A16" s="479">
        <v>528</v>
      </c>
      <c r="B16" s="481" t="s">
        <v>541</v>
      </c>
      <c r="C16" s="484"/>
      <c r="D16" s="482">
        <v>80000</v>
      </c>
      <c r="E16" s="483" t="s">
        <v>607</v>
      </c>
      <c r="F16" s="478"/>
      <c r="G16" s="478"/>
    </row>
    <row r="17" spans="1:7">
      <c r="A17" s="481" t="s">
        <v>26</v>
      </c>
      <c r="B17" s="481" t="s">
        <v>542</v>
      </c>
      <c r="C17" s="485">
        <v>1.4999999999999999E-2</v>
      </c>
      <c r="D17" s="482">
        <f>(D10+D12)*C17</f>
        <v>0</v>
      </c>
      <c r="E17" s="483"/>
      <c r="F17" s="478"/>
      <c r="G17" s="478"/>
    </row>
    <row r="18" spans="1:7">
      <c r="A18" s="479">
        <v>549</v>
      </c>
      <c r="B18" s="481" t="s">
        <v>27</v>
      </c>
      <c r="C18" s="481"/>
      <c r="D18" s="482"/>
      <c r="E18" s="483"/>
      <c r="F18" s="478"/>
      <c r="G18" s="478"/>
    </row>
    <row r="19" spans="1:7" ht="15.75" thickBot="1">
      <c r="A19" s="479">
        <v>799</v>
      </c>
      <c r="B19" s="481" t="s">
        <v>33</v>
      </c>
      <c r="C19" s="481"/>
      <c r="D19" s="482"/>
      <c r="E19" s="486"/>
      <c r="F19" s="478"/>
      <c r="G19" s="478"/>
    </row>
    <row r="20" spans="1:7">
      <c r="B20" s="487" t="s">
        <v>36</v>
      </c>
      <c r="C20" s="488"/>
      <c r="D20" s="489">
        <f>SUM(D2:D19)</f>
        <v>690000</v>
      </c>
      <c r="E20" s="490"/>
    </row>
    <row r="23" spans="1:7">
      <c r="B23" t="s">
        <v>574</v>
      </c>
    </row>
  </sheetData>
  <pageMargins left="0.7" right="0.7" top="0.78740157499999996" bottom="0.78740157499999996" header="0.3" footer="0.3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zoomScaleNormal="100" workbookViewId="0">
      <selection activeCell="E16" sqref="E16"/>
    </sheetView>
  </sheetViews>
  <sheetFormatPr defaultColWidth="8.7109375" defaultRowHeight="15"/>
  <cols>
    <col min="1" max="2" width="5.28515625" customWidth="1"/>
    <col min="3" max="3" width="44.7109375" bestFit="1" customWidth="1"/>
    <col min="4" max="4" width="7.140625" customWidth="1"/>
    <col min="5" max="5" width="18" bestFit="1" customWidth="1"/>
    <col min="6" max="6" width="57.28515625" customWidth="1"/>
    <col min="7" max="7" width="17.7109375" bestFit="1" customWidth="1"/>
    <col min="8" max="8" width="20.42578125" bestFit="1" customWidth="1"/>
  </cols>
  <sheetData>
    <row r="1" spans="1:8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8">
      <c r="A2" s="474" t="s">
        <v>6</v>
      </c>
      <c r="B2" s="475">
        <v>1305</v>
      </c>
      <c r="C2" s="474" t="s">
        <v>537</v>
      </c>
      <c r="D2" s="474"/>
      <c r="E2" s="476"/>
      <c r="F2" s="477"/>
      <c r="G2" s="478"/>
      <c r="H2" s="478"/>
    </row>
    <row r="3" spans="1:8">
      <c r="A3" s="479">
        <v>501</v>
      </c>
      <c r="B3" s="479">
        <v>1309</v>
      </c>
      <c r="C3" s="480" t="s">
        <v>7</v>
      </c>
      <c r="D3" s="481"/>
      <c r="E3" s="482"/>
      <c r="F3" s="483"/>
      <c r="G3" s="478"/>
      <c r="H3" s="478"/>
    </row>
    <row r="4" spans="1:8">
      <c r="A4" s="481" t="s">
        <v>8</v>
      </c>
      <c r="B4" s="479"/>
      <c r="C4" s="481" t="s">
        <v>9</v>
      </c>
      <c r="D4" s="481"/>
      <c r="E4" s="482">
        <v>0</v>
      </c>
      <c r="F4" s="483"/>
      <c r="G4" s="478"/>
      <c r="H4" s="478"/>
    </row>
    <row r="5" spans="1:8">
      <c r="A5" s="481" t="s">
        <v>10</v>
      </c>
      <c r="B5" s="479"/>
      <c r="C5" s="481" t="s">
        <v>11</v>
      </c>
      <c r="D5" s="481"/>
      <c r="E5" s="482">
        <v>0</v>
      </c>
      <c r="F5" s="483"/>
      <c r="G5" s="478"/>
      <c r="H5" s="478"/>
    </row>
    <row r="6" spans="1:8">
      <c r="A6" s="481" t="s">
        <v>12</v>
      </c>
      <c r="B6" s="479"/>
      <c r="C6" s="481" t="s">
        <v>13</v>
      </c>
      <c r="D6" s="481"/>
      <c r="E6" s="482">
        <v>0</v>
      </c>
      <c r="F6" s="483"/>
      <c r="G6" s="478"/>
      <c r="H6" s="478"/>
    </row>
    <row r="7" spans="1:8">
      <c r="A7" s="481" t="s">
        <v>14</v>
      </c>
      <c r="B7" s="479">
        <v>1401</v>
      </c>
      <c r="C7" s="481" t="s">
        <v>15</v>
      </c>
      <c r="D7" s="481"/>
      <c r="E7" s="482"/>
      <c r="F7" s="483"/>
      <c r="G7" s="478"/>
      <c r="H7" s="478"/>
    </row>
    <row r="8" spans="1:8">
      <c r="A8" s="481" t="s">
        <v>16</v>
      </c>
      <c r="B8" s="479">
        <v>1305</v>
      </c>
      <c r="C8" s="481" t="s">
        <v>538</v>
      </c>
      <c r="D8" s="481"/>
      <c r="E8" s="482"/>
      <c r="F8" s="483"/>
      <c r="G8" s="478"/>
      <c r="H8" s="478"/>
    </row>
    <row r="9" spans="1:8">
      <c r="A9" s="479">
        <v>518</v>
      </c>
      <c r="B9" s="479">
        <v>1314</v>
      </c>
      <c r="C9" s="481" t="s">
        <v>17</v>
      </c>
      <c r="D9" s="481"/>
      <c r="E9" s="482"/>
      <c r="F9" s="483"/>
      <c r="G9" s="478"/>
      <c r="H9" s="478"/>
    </row>
    <row r="10" spans="1:8">
      <c r="A10" s="481" t="s">
        <v>18</v>
      </c>
      <c r="B10" s="479">
        <v>1301</v>
      </c>
      <c r="C10" s="481" t="s">
        <v>19</v>
      </c>
      <c r="D10" s="481"/>
      <c r="E10" s="482">
        <v>516605</v>
      </c>
      <c r="F10" s="483"/>
      <c r="G10" s="478"/>
      <c r="H10" s="478"/>
    </row>
    <row r="11" spans="1:8">
      <c r="A11" s="479">
        <v>521</v>
      </c>
      <c r="B11" s="479">
        <v>1304</v>
      </c>
      <c r="C11" s="481" t="s">
        <v>20</v>
      </c>
      <c r="D11" s="481"/>
      <c r="E11" s="482"/>
      <c r="F11" s="483"/>
      <c r="G11" s="478"/>
      <c r="H11" s="478"/>
    </row>
    <row r="12" spans="1:8">
      <c r="A12" s="479">
        <v>521</v>
      </c>
      <c r="B12" s="479">
        <v>1304</v>
      </c>
      <c r="C12" s="481" t="s">
        <v>21</v>
      </c>
      <c r="D12" s="481"/>
      <c r="E12" s="482"/>
      <c r="F12" s="483"/>
      <c r="G12" s="478"/>
      <c r="H12" s="478"/>
    </row>
    <row r="13" spans="1:8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46494.45</v>
      </c>
      <c r="F13" s="483"/>
      <c r="G13" s="478"/>
      <c r="H13" s="478"/>
    </row>
    <row r="14" spans="1:8">
      <c r="A14" s="479">
        <v>524</v>
      </c>
      <c r="B14" s="479">
        <v>1303</v>
      </c>
      <c r="C14" s="481" t="s">
        <v>540</v>
      </c>
      <c r="D14" s="484">
        <v>0.25</v>
      </c>
      <c r="E14" s="482">
        <f>(E10+E12)*D14</f>
        <v>129151.25</v>
      </c>
      <c r="F14" s="483"/>
      <c r="G14" s="478"/>
      <c r="H14" s="478"/>
    </row>
    <row r="15" spans="1:8">
      <c r="A15" s="481" t="s">
        <v>24</v>
      </c>
      <c r="B15" s="479">
        <v>1301</v>
      </c>
      <c r="C15" s="481" t="s">
        <v>541</v>
      </c>
      <c r="D15" s="484"/>
      <c r="E15" s="482">
        <v>0</v>
      </c>
      <c r="F15" s="483"/>
      <c r="G15" s="478"/>
      <c r="H15" s="478"/>
    </row>
    <row r="16" spans="1:8">
      <c r="A16" s="481" t="s">
        <v>26</v>
      </c>
      <c r="B16" s="479">
        <v>1363</v>
      </c>
      <c r="C16" s="481" t="s">
        <v>542</v>
      </c>
      <c r="D16" s="485">
        <v>1.4999999999999999E-2</v>
      </c>
      <c r="E16" s="482">
        <f>E10*D16</f>
        <v>7749.0749999999998</v>
      </c>
      <c r="F16" s="483"/>
      <c r="G16" s="478"/>
      <c r="H16" s="478"/>
    </row>
    <row r="17" spans="1:8">
      <c r="A17" s="479">
        <v>549</v>
      </c>
      <c r="B17" s="479">
        <v>1309</v>
      </c>
      <c r="C17" s="481" t="s">
        <v>27</v>
      </c>
      <c r="D17" s="481"/>
      <c r="E17" s="482"/>
      <c r="F17" s="483"/>
      <c r="G17" s="478"/>
      <c r="H17" s="478"/>
    </row>
    <row r="18" spans="1:8" ht="15.75" thickBot="1">
      <c r="A18" s="479">
        <v>799</v>
      </c>
      <c r="B18" s="479"/>
      <c r="C18" s="481" t="s">
        <v>33</v>
      </c>
      <c r="D18" s="481"/>
      <c r="E18" s="482"/>
      <c r="F18" s="486"/>
      <c r="G18" s="478"/>
      <c r="H18" s="478"/>
    </row>
    <row r="19" spans="1:8">
      <c r="C19" s="487" t="s">
        <v>36</v>
      </c>
      <c r="D19" s="488"/>
      <c r="E19" s="489">
        <f>SUM(E2:E18)</f>
        <v>699999.77499999991</v>
      </c>
      <c r="F19" s="490"/>
    </row>
    <row r="22" spans="1:8">
      <c r="C22" t="s">
        <v>575</v>
      </c>
    </row>
  </sheetData>
  <pageMargins left="0.7" right="0.7" top="0.78740157499999996" bottom="0.78740157499999996" header="0.3" footer="0.3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97"/>
  <sheetViews>
    <sheetView workbookViewId="0">
      <selection activeCell="B18" sqref="B18"/>
    </sheetView>
  </sheetViews>
  <sheetFormatPr defaultColWidth="15.140625" defaultRowHeight="15" customHeight="1"/>
  <cols>
    <col min="1" max="1" width="4.7109375" style="502" customWidth="1"/>
    <col min="2" max="2" width="39.140625" style="502" customWidth="1"/>
    <col min="3" max="3" width="6.140625" style="502" customWidth="1"/>
    <col min="4" max="4" width="15.7109375" style="502" customWidth="1"/>
    <col min="5" max="5" width="81.28515625" style="502" customWidth="1"/>
    <col min="6" max="6" width="15.42578125" style="502" customWidth="1"/>
    <col min="7" max="7" width="17.7109375" style="502" customWidth="1"/>
    <col min="8" max="26" width="7.7109375" style="502" customWidth="1"/>
    <col min="27" max="16384" width="15.140625" style="502"/>
  </cols>
  <sheetData>
    <row r="1" spans="1:7">
      <c r="A1" s="500" t="s">
        <v>2</v>
      </c>
      <c r="B1" s="500" t="s">
        <v>3</v>
      </c>
      <c r="C1" s="500" t="s">
        <v>4</v>
      </c>
      <c r="D1" s="500" t="s">
        <v>5</v>
      </c>
      <c r="E1" s="501" t="s">
        <v>536</v>
      </c>
      <c r="F1" s="549"/>
      <c r="G1" s="549"/>
    </row>
    <row r="2" spans="1:7">
      <c r="A2" s="504" t="s">
        <v>6</v>
      </c>
      <c r="B2" s="504" t="s">
        <v>7</v>
      </c>
      <c r="C2" s="504"/>
      <c r="D2" s="505"/>
      <c r="E2" s="506"/>
      <c r="F2" s="507"/>
      <c r="G2" s="549"/>
    </row>
    <row r="3" spans="1:7">
      <c r="A3" s="511" t="s">
        <v>8</v>
      </c>
      <c r="B3" s="511" t="s">
        <v>9</v>
      </c>
      <c r="C3" s="511"/>
      <c r="D3" s="514"/>
      <c r="E3" s="513"/>
      <c r="F3" s="507"/>
      <c r="G3" s="549"/>
    </row>
    <row r="4" spans="1:7">
      <c r="A4" s="511" t="s">
        <v>10</v>
      </c>
      <c r="B4" s="511" t="s">
        <v>11</v>
      </c>
      <c r="C4" s="511"/>
      <c r="D4" s="514"/>
      <c r="E4" s="513"/>
      <c r="F4" s="507"/>
      <c r="G4" s="549"/>
    </row>
    <row r="5" spans="1:7">
      <c r="A5" s="511" t="s">
        <v>12</v>
      </c>
      <c r="B5" s="511" t="s">
        <v>13</v>
      </c>
      <c r="C5" s="511"/>
      <c r="D5" s="514"/>
      <c r="E5" s="513"/>
      <c r="F5" s="507"/>
      <c r="G5" s="549"/>
    </row>
    <row r="6" spans="1:7">
      <c r="A6" s="511" t="s">
        <v>14</v>
      </c>
      <c r="B6" s="511" t="s">
        <v>15</v>
      </c>
      <c r="C6" s="511"/>
      <c r="D6" s="514">
        <v>0</v>
      </c>
      <c r="E6" s="513"/>
      <c r="F6" s="507"/>
      <c r="G6" s="549"/>
    </row>
    <row r="7" spans="1:7">
      <c r="A7" s="511" t="s">
        <v>16</v>
      </c>
      <c r="B7" s="511" t="s">
        <v>576</v>
      </c>
      <c r="C7" s="511"/>
      <c r="D7" s="514"/>
      <c r="E7" s="513"/>
      <c r="F7" s="507"/>
      <c r="G7" s="549"/>
    </row>
    <row r="8" spans="1:7" ht="21">
      <c r="A8" s="550" t="s">
        <v>18</v>
      </c>
      <c r="B8" s="550" t="s">
        <v>19</v>
      </c>
      <c r="C8" s="550"/>
      <c r="D8" s="551">
        <f>2*82500</f>
        <v>165000</v>
      </c>
      <c r="E8" s="552" t="s">
        <v>577</v>
      </c>
      <c r="F8" s="507"/>
      <c r="G8" s="549"/>
    </row>
    <row r="9" spans="1:7">
      <c r="A9" s="516">
        <v>521</v>
      </c>
      <c r="B9" s="511" t="s">
        <v>20</v>
      </c>
      <c r="C9" s="511"/>
      <c r="D9" s="514">
        <v>0</v>
      </c>
      <c r="E9" s="513"/>
      <c r="F9" s="507"/>
      <c r="G9" s="549"/>
    </row>
    <row r="10" spans="1:7">
      <c r="A10" s="516">
        <v>521</v>
      </c>
      <c r="B10" s="511" t="s">
        <v>21</v>
      </c>
      <c r="C10" s="511"/>
      <c r="D10" s="514">
        <v>0</v>
      </c>
      <c r="E10" s="513"/>
      <c r="F10" s="507"/>
      <c r="G10" s="549"/>
    </row>
    <row r="11" spans="1:7">
      <c r="A11" s="511" t="s">
        <v>22</v>
      </c>
      <c r="B11" s="511" t="s">
        <v>23</v>
      </c>
      <c r="C11" s="517">
        <v>0.09</v>
      </c>
      <c r="D11" s="514">
        <f>(D8+D10)*C11</f>
        <v>14850</v>
      </c>
      <c r="E11" s="513"/>
      <c r="F11" s="507"/>
      <c r="G11" s="549"/>
    </row>
    <row r="12" spans="1:7">
      <c r="A12" s="511"/>
      <c r="B12" s="511"/>
      <c r="C12" s="517">
        <v>0.25</v>
      </c>
      <c r="D12" s="514">
        <f>(D8+D10)*C12</f>
        <v>41250</v>
      </c>
      <c r="E12" s="513"/>
      <c r="F12" s="507"/>
      <c r="G12" s="549"/>
    </row>
    <row r="13" spans="1:7">
      <c r="A13" s="511" t="s">
        <v>24</v>
      </c>
      <c r="B13" s="511" t="s">
        <v>25</v>
      </c>
      <c r="C13" s="517"/>
      <c r="D13" s="514">
        <f>(D8+D10)*C13</f>
        <v>0</v>
      </c>
      <c r="E13" s="513"/>
      <c r="F13" s="507"/>
      <c r="G13" s="549"/>
    </row>
    <row r="14" spans="1:7">
      <c r="A14" s="511" t="s">
        <v>26</v>
      </c>
      <c r="B14" s="511" t="s">
        <v>27</v>
      </c>
      <c r="C14" s="521">
        <v>1.4999999999999999E-2</v>
      </c>
      <c r="D14" s="514">
        <f>D8*C14</f>
        <v>2475</v>
      </c>
      <c r="E14" s="513"/>
      <c r="F14" s="507"/>
      <c r="G14" s="549"/>
    </row>
    <row r="15" spans="1:7" ht="15.75" thickBot="1">
      <c r="A15" s="511" t="s">
        <v>32</v>
      </c>
      <c r="B15" s="511" t="s">
        <v>33</v>
      </c>
      <c r="C15" s="511"/>
      <c r="D15" s="514"/>
      <c r="E15" s="513"/>
      <c r="F15" s="507"/>
      <c r="G15" s="549"/>
    </row>
    <row r="16" spans="1:7">
      <c r="A16" s="549"/>
      <c r="B16" s="525" t="s">
        <v>36</v>
      </c>
      <c r="C16" s="526"/>
      <c r="D16" s="527">
        <f>SUM(D2:D15)</f>
        <v>223575</v>
      </c>
      <c r="E16" s="549"/>
      <c r="F16" s="549"/>
      <c r="G16" s="549"/>
    </row>
    <row r="17" spans="1:7">
      <c r="A17" s="549"/>
      <c r="B17" s="549"/>
      <c r="C17" s="549"/>
      <c r="D17" s="549"/>
      <c r="E17" s="549"/>
      <c r="F17" s="549"/>
      <c r="G17" s="549"/>
    </row>
    <row r="18" spans="1:7">
      <c r="A18" s="549"/>
      <c r="B18" s="549" t="s">
        <v>882</v>
      </c>
      <c r="C18" s="549"/>
      <c r="D18" s="549"/>
      <c r="E18" s="549"/>
      <c r="F18" s="549"/>
      <c r="G18" s="549"/>
    </row>
    <row r="19" spans="1:7">
      <c r="A19" s="549"/>
      <c r="B19" s="549"/>
      <c r="C19" s="549"/>
      <c r="D19" s="549"/>
      <c r="E19" s="549"/>
      <c r="F19" s="549"/>
      <c r="G19" s="549"/>
    </row>
    <row r="20" spans="1:7">
      <c r="A20" s="549"/>
      <c r="B20" s="549"/>
      <c r="C20" s="549"/>
      <c r="D20" s="549"/>
      <c r="E20" s="549"/>
      <c r="F20" s="549"/>
      <c r="G20" s="549"/>
    </row>
    <row r="21" spans="1:7">
      <c r="A21" s="549"/>
      <c r="B21" s="549"/>
      <c r="C21" s="549"/>
      <c r="D21" s="549"/>
      <c r="E21" s="549"/>
      <c r="F21" s="549"/>
      <c r="G21" s="549"/>
    </row>
    <row r="22" spans="1:7">
      <c r="A22" s="549"/>
      <c r="B22" s="549"/>
      <c r="C22" s="549"/>
      <c r="D22" s="549"/>
      <c r="E22" s="549"/>
      <c r="F22" s="549"/>
      <c r="G22" s="549"/>
    </row>
    <row r="23" spans="1:7">
      <c r="A23" s="549"/>
      <c r="B23" s="549"/>
      <c r="C23" s="549"/>
      <c r="D23" s="549"/>
      <c r="E23" s="549"/>
      <c r="F23" s="549"/>
      <c r="G23" s="549"/>
    </row>
    <row r="24" spans="1:7">
      <c r="A24" s="549"/>
      <c r="B24" s="549"/>
      <c r="C24" s="549"/>
      <c r="D24" s="549"/>
      <c r="E24" s="549"/>
      <c r="F24" s="549"/>
      <c r="G24" s="549"/>
    </row>
    <row r="25" spans="1:7">
      <c r="A25" s="549"/>
      <c r="B25" s="549"/>
      <c r="C25" s="549"/>
      <c r="D25" s="549"/>
      <c r="E25" s="549"/>
      <c r="F25" s="549"/>
      <c r="G25" s="549"/>
    </row>
    <row r="26" spans="1:7">
      <c r="A26" s="549"/>
      <c r="B26" s="549"/>
      <c r="C26" s="549"/>
      <c r="D26" s="549"/>
      <c r="E26" s="549"/>
      <c r="F26" s="549"/>
      <c r="G26" s="549"/>
    </row>
    <row r="27" spans="1:7">
      <c r="A27" s="549"/>
      <c r="B27" s="549"/>
      <c r="C27" s="549"/>
      <c r="D27" s="549"/>
      <c r="E27" s="549"/>
      <c r="F27" s="549"/>
      <c r="G27" s="549"/>
    </row>
    <row r="28" spans="1:7">
      <c r="A28" s="549"/>
      <c r="B28" s="549"/>
      <c r="C28" s="549"/>
      <c r="D28" s="549"/>
      <c r="E28" s="549"/>
      <c r="F28" s="549"/>
      <c r="G28" s="549"/>
    </row>
    <row r="29" spans="1:7">
      <c r="A29" s="549"/>
      <c r="B29" s="549"/>
      <c r="C29" s="549"/>
      <c r="D29" s="549"/>
      <c r="E29" s="549"/>
      <c r="F29" s="549"/>
      <c r="G29" s="549"/>
    </row>
    <row r="30" spans="1:7">
      <c r="A30" s="549"/>
      <c r="B30" s="549"/>
      <c r="C30" s="549"/>
      <c r="D30" s="549"/>
      <c r="E30" s="549"/>
      <c r="F30" s="549"/>
      <c r="G30" s="549"/>
    </row>
    <row r="31" spans="1:7">
      <c r="A31" s="549"/>
      <c r="B31" s="549"/>
      <c r="C31" s="549"/>
      <c r="D31" s="549"/>
      <c r="E31" s="549"/>
      <c r="F31" s="549"/>
      <c r="G31" s="549"/>
    </row>
    <row r="32" spans="1:7">
      <c r="A32" s="549"/>
      <c r="B32" s="549"/>
      <c r="C32" s="549"/>
      <c r="D32" s="549"/>
      <c r="E32" s="549"/>
      <c r="F32" s="549"/>
      <c r="G32" s="549"/>
    </row>
    <row r="33" spans="1:7">
      <c r="A33" s="549"/>
      <c r="B33" s="549"/>
      <c r="C33" s="549"/>
      <c r="D33" s="549"/>
      <c r="E33" s="549"/>
      <c r="F33" s="549"/>
      <c r="G33" s="549"/>
    </row>
    <row r="34" spans="1:7">
      <c r="A34" s="549"/>
      <c r="B34" s="549"/>
      <c r="C34" s="549"/>
      <c r="D34" s="549"/>
      <c r="E34" s="549"/>
      <c r="F34" s="549"/>
      <c r="G34" s="549"/>
    </row>
    <row r="35" spans="1:7">
      <c r="A35" s="549"/>
      <c r="B35" s="549"/>
      <c r="C35" s="549"/>
      <c r="D35" s="549"/>
      <c r="E35" s="549"/>
      <c r="F35" s="549"/>
      <c r="G35" s="549"/>
    </row>
    <row r="36" spans="1:7">
      <c r="A36" s="549"/>
      <c r="B36" s="549"/>
      <c r="C36" s="549"/>
      <c r="D36" s="549"/>
      <c r="E36" s="549"/>
      <c r="F36" s="549"/>
      <c r="G36" s="549"/>
    </row>
    <row r="37" spans="1:7">
      <c r="A37" s="549"/>
      <c r="B37" s="549"/>
      <c r="C37" s="549"/>
      <c r="D37" s="549"/>
      <c r="E37" s="549"/>
      <c r="F37" s="549"/>
      <c r="G37" s="549"/>
    </row>
    <row r="38" spans="1:7">
      <c r="A38" s="549"/>
      <c r="B38" s="549"/>
      <c r="C38" s="549"/>
      <c r="D38" s="549"/>
      <c r="E38" s="549"/>
      <c r="F38" s="549"/>
      <c r="G38" s="549"/>
    </row>
    <row r="39" spans="1:7">
      <c r="A39" s="549"/>
      <c r="B39" s="549"/>
      <c r="C39" s="549"/>
      <c r="D39" s="549"/>
      <c r="E39" s="549"/>
      <c r="F39" s="549"/>
      <c r="G39" s="549"/>
    </row>
    <row r="40" spans="1:7">
      <c r="A40" s="549"/>
      <c r="B40" s="549"/>
      <c r="C40" s="549"/>
      <c r="D40" s="549"/>
      <c r="E40" s="549"/>
      <c r="F40" s="549"/>
      <c r="G40" s="549"/>
    </row>
    <row r="41" spans="1:7">
      <c r="A41" s="549"/>
      <c r="B41" s="549"/>
      <c r="C41" s="549"/>
      <c r="D41" s="549"/>
      <c r="E41" s="549"/>
      <c r="F41" s="549"/>
      <c r="G41" s="549"/>
    </row>
    <row r="42" spans="1:7">
      <c r="A42" s="549"/>
      <c r="B42" s="549"/>
      <c r="C42" s="549"/>
      <c r="D42" s="549"/>
      <c r="E42" s="549"/>
      <c r="F42" s="549"/>
      <c r="G42" s="549"/>
    </row>
    <row r="43" spans="1:7">
      <c r="A43" s="549"/>
      <c r="B43" s="549"/>
      <c r="C43" s="549"/>
      <c r="D43" s="549"/>
      <c r="E43" s="549"/>
      <c r="F43" s="549"/>
      <c r="G43" s="549"/>
    </row>
    <row r="44" spans="1:7">
      <c r="A44" s="549"/>
      <c r="B44" s="549"/>
      <c r="C44" s="549"/>
      <c r="D44" s="549"/>
      <c r="E44" s="549"/>
      <c r="F44" s="549"/>
      <c r="G44" s="549"/>
    </row>
    <row r="45" spans="1:7">
      <c r="A45" s="549"/>
      <c r="B45" s="549"/>
      <c r="C45" s="549"/>
      <c r="D45" s="549"/>
      <c r="E45" s="549"/>
      <c r="F45" s="549"/>
      <c r="G45" s="549"/>
    </row>
    <row r="46" spans="1:7">
      <c r="A46" s="549"/>
      <c r="B46" s="549"/>
      <c r="C46" s="549"/>
      <c r="D46" s="549"/>
      <c r="E46" s="549"/>
      <c r="F46" s="549"/>
      <c r="G46" s="549"/>
    </row>
    <row r="47" spans="1:7">
      <c r="A47" s="549"/>
      <c r="B47" s="549"/>
      <c r="C47" s="549"/>
      <c r="D47" s="549"/>
      <c r="E47" s="549"/>
      <c r="F47" s="549"/>
      <c r="G47" s="549"/>
    </row>
    <row r="48" spans="1:7">
      <c r="A48" s="549"/>
      <c r="B48" s="549"/>
      <c r="C48" s="549"/>
      <c r="D48" s="549"/>
      <c r="E48" s="549"/>
      <c r="F48" s="549"/>
      <c r="G48" s="549"/>
    </row>
    <row r="49" spans="1:7">
      <c r="A49" s="549"/>
      <c r="B49" s="549"/>
      <c r="C49" s="549"/>
      <c r="D49" s="549"/>
      <c r="E49" s="549"/>
      <c r="F49" s="549"/>
      <c r="G49" s="549"/>
    </row>
    <row r="50" spans="1:7">
      <c r="A50" s="549"/>
      <c r="B50" s="549"/>
      <c r="C50" s="549"/>
      <c r="D50" s="549"/>
      <c r="E50" s="549"/>
      <c r="F50" s="549"/>
      <c r="G50" s="549"/>
    </row>
    <row r="51" spans="1:7">
      <c r="A51" s="549"/>
      <c r="B51" s="549"/>
      <c r="C51" s="549"/>
      <c r="D51" s="549"/>
      <c r="E51" s="549"/>
      <c r="F51" s="549"/>
      <c r="G51" s="549"/>
    </row>
    <row r="52" spans="1:7">
      <c r="A52" s="549"/>
      <c r="B52" s="549"/>
      <c r="C52" s="549"/>
      <c r="D52" s="549"/>
      <c r="E52" s="549"/>
      <c r="F52" s="549"/>
      <c r="G52" s="549"/>
    </row>
    <row r="53" spans="1:7">
      <c r="A53" s="549"/>
      <c r="B53" s="549"/>
      <c r="C53" s="549"/>
      <c r="D53" s="549"/>
      <c r="E53" s="549"/>
      <c r="F53" s="549"/>
      <c r="G53" s="549"/>
    </row>
    <row r="54" spans="1:7">
      <c r="A54" s="549"/>
      <c r="B54" s="549"/>
      <c r="C54" s="549"/>
      <c r="D54" s="549"/>
      <c r="E54" s="549"/>
      <c r="F54" s="549"/>
      <c r="G54" s="549"/>
    </row>
    <row r="55" spans="1:7">
      <c r="A55" s="549"/>
      <c r="B55" s="549"/>
      <c r="C55" s="549"/>
      <c r="D55" s="549"/>
      <c r="E55" s="549"/>
      <c r="F55" s="549"/>
      <c r="G55" s="549"/>
    </row>
    <row r="56" spans="1:7">
      <c r="A56" s="549"/>
      <c r="B56" s="549"/>
      <c r="C56" s="549"/>
      <c r="D56" s="549"/>
      <c r="E56" s="549"/>
      <c r="F56" s="549"/>
      <c r="G56" s="549"/>
    </row>
    <row r="57" spans="1:7">
      <c r="A57" s="549"/>
      <c r="B57" s="549"/>
      <c r="C57" s="549"/>
      <c r="D57" s="549"/>
      <c r="E57" s="549"/>
      <c r="F57" s="549"/>
      <c r="G57" s="549"/>
    </row>
    <row r="58" spans="1:7">
      <c r="A58" s="549"/>
      <c r="B58" s="549"/>
      <c r="C58" s="549"/>
      <c r="D58" s="549"/>
      <c r="E58" s="549"/>
      <c r="F58" s="549"/>
      <c r="G58" s="549"/>
    </row>
    <row r="59" spans="1:7">
      <c r="A59" s="549"/>
      <c r="B59" s="549"/>
      <c r="C59" s="549"/>
      <c r="D59" s="549"/>
      <c r="E59" s="549"/>
      <c r="F59" s="549"/>
      <c r="G59" s="549"/>
    </row>
    <row r="60" spans="1:7">
      <c r="A60" s="549"/>
      <c r="B60" s="549"/>
      <c r="C60" s="549"/>
      <c r="D60" s="549"/>
      <c r="E60" s="549"/>
      <c r="F60" s="549"/>
      <c r="G60" s="549"/>
    </row>
    <row r="61" spans="1:7">
      <c r="A61" s="549"/>
      <c r="B61" s="549"/>
      <c r="C61" s="549"/>
      <c r="D61" s="549"/>
      <c r="E61" s="549"/>
      <c r="F61" s="549"/>
      <c r="G61" s="549"/>
    </row>
    <row r="62" spans="1:7">
      <c r="A62" s="549"/>
      <c r="B62" s="549"/>
      <c r="C62" s="549"/>
      <c r="D62" s="549"/>
      <c r="E62" s="549"/>
      <c r="F62" s="549"/>
      <c r="G62" s="549"/>
    </row>
    <row r="63" spans="1:7">
      <c r="A63" s="549"/>
      <c r="B63" s="549"/>
      <c r="C63" s="549"/>
      <c r="D63" s="549"/>
      <c r="E63" s="549"/>
      <c r="F63" s="549"/>
      <c r="G63" s="549"/>
    </row>
    <row r="64" spans="1:7">
      <c r="A64" s="549"/>
      <c r="B64" s="549"/>
      <c r="C64" s="549"/>
      <c r="D64" s="549"/>
      <c r="E64" s="549"/>
      <c r="F64" s="549"/>
      <c r="G64" s="549"/>
    </row>
    <row r="65" spans="1:7">
      <c r="A65" s="549"/>
      <c r="B65" s="549"/>
      <c r="C65" s="549"/>
      <c r="D65" s="549"/>
      <c r="E65" s="549"/>
      <c r="F65" s="549"/>
      <c r="G65" s="549"/>
    </row>
    <row r="66" spans="1:7">
      <c r="A66" s="549"/>
      <c r="B66" s="549"/>
      <c r="C66" s="549"/>
      <c r="D66" s="549"/>
      <c r="E66" s="549"/>
      <c r="F66" s="549"/>
      <c r="G66" s="549"/>
    </row>
    <row r="67" spans="1:7">
      <c r="A67" s="549"/>
      <c r="B67" s="549"/>
      <c r="C67" s="549"/>
      <c r="D67" s="549"/>
      <c r="E67" s="549"/>
      <c r="F67" s="549"/>
      <c r="G67" s="549"/>
    </row>
    <row r="68" spans="1:7">
      <c r="A68" s="549"/>
      <c r="B68" s="549"/>
      <c r="C68" s="549"/>
      <c r="D68" s="549"/>
      <c r="E68" s="549"/>
      <c r="F68" s="549"/>
      <c r="G68" s="549"/>
    </row>
    <row r="69" spans="1:7">
      <c r="A69" s="549"/>
      <c r="B69" s="549"/>
      <c r="C69" s="549"/>
      <c r="D69" s="549"/>
      <c r="E69" s="549"/>
      <c r="F69" s="549"/>
      <c r="G69" s="549"/>
    </row>
    <row r="70" spans="1:7">
      <c r="A70" s="549"/>
      <c r="B70" s="549"/>
      <c r="C70" s="549"/>
      <c r="D70" s="549"/>
      <c r="E70" s="549"/>
      <c r="F70" s="549"/>
      <c r="G70" s="549"/>
    </row>
    <row r="71" spans="1:7">
      <c r="A71" s="549"/>
      <c r="B71" s="549"/>
      <c r="C71" s="549"/>
      <c r="D71" s="549"/>
      <c r="E71" s="549"/>
      <c r="F71" s="549"/>
      <c r="G71" s="549"/>
    </row>
    <row r="72" spans="1:7">
      <c r="A72" s="549"/>
      <c r="B72" s="549"/>
      <c r="C72" s="549"/>
      <c r="D72" s="549"/>
      <c r="E72" s="549"/>
      <c r="F72" s="549"/>
      <c r="G72" s="549"/>
    </row>
    <row r="73" spans="1:7">
      <c r="A73" s="549"/>
      <c r="B73" s="549"/>
      <c r="C73" s="549"/>
      <c r="D73" s="549"/>
      <c r="E73" s="549"/>
      <c r="F73" s="549"/>
      <c r="G73" s="549"/>
    </row>
    <row r="74" spans="1:7">
      <c r="A74" s="549"/>
      <c r="B74" s="549"/>
      <c r="C74" s="549"/>
      <c r="D74" s="549"/>
      <c r="E74" s="549"/>
      <c r="F74" s="549"/>
      <c r="G74" s="549"/>
    </row>
    <row r="75" spans="1:7">
      <c r="A75" s="549"/>
      <c r="B75" s="549"/>
      <c r="C75" s="549"/>
      <c r="D75" s="549"/>
      <c r="E75" s="549"/>
      <c r="F75" s="549"/>
      <c r="G75" s="549"/>
    </row>
    <row r="76" spans="1:7">
      <c r="A76" s="549"/>
      <c r="B76" s="549"/>
      <c r="C76" s="549"/>
      <c r="D76" s="549"/>
      <c r="E76" s="549"/>
      <c r="F76" s="549"/>
      <c r="G76" s="549"/>
    </row>
    <row r="77" spans="1:7">
      <c r="A77" s="549"/>
      <c r="B77" s="549"/>
      <c r="C77" s="549"/>
      <c r="D77" s="549"/>
      <c r="E77" s="549"/>
      <c r="F77" s="549"/>
      <c r="G77" s="549"/>
    </row>
    <row r="78" spans="1:7">
      <c r="A78" s="549"/>
      <c r="B78" s="549"/>
      <c r="C78" s="549"/>
      <c r="D78" s="549"/>
      <c r="E78" s="549"/>
      <c r="F78" s="549"/>
      <c r="G78" s="549"/>
    </row>
    <row r="79" spans="1:7">
      <c r="A79" s="549"/>
      <c r="B79" s="549"/>
      <c r="C79" s="549"/>
      <c r="D79" s="549"/>
      <c r="E79" s="549"/>
      <c r="F79" s="549"/>
      <c r="G79" s="549"/>
    </row>
    <row r="80" spans="1:7">
      <c r="A80" s="549"/>
      <c r="B80" s="549"/>
      <c r="C80" s="549"/>
      <c r="D80" s="549"/>
      <c r="E80" s="549"/>
      <c r="F80" s="549"/>
      <c r="G80" s="549"/>
    </row>
    <row r="81" spans="1:7">
      <c r="A81" s="549"/>
      <c r="B81" s="549"/>
      <c r="C81" s="549"/>
      <c r="D81" s="549"/>
      <c r="E81" s="549"/>
      <c r="F81" s="549"/>
      <c r="G81" s="549"/>
    </row>
    <row r="82" spans="1:7">
      <c r="A82" s="549"/>
      <c r="B82" s="549"/>
      <c r="C82" s="549"/>
      <c r="D82" s="549"/>
      <c r="E82" s="549"/>
      <c r="F82" s="549"/>
      <c r="G82" s="549"/>
    </row>
    <row r="83" spans="1:7">
      <c r="A83" s="549"/>
      <c r="B83" s="549"/>
      <c r="C83" s="549"/>
      <c r="D83" s="549"/>
      <c r="E83" s="549"/>
      <c r="F83" s="549"/>
      <c r="G83" s="549"/>
    </row>
    <row r="84" spans="1:7">
      <c r="A84" s="549"/>
      <c r="B84" s="549"/>
      <c r="C84" s="549"/>
      <c r="D84" s="549"/>
      <c r="E84" s="549"/>
      <c r="F84" s="549"/>
      <c r="G84" s="549"/>
    </row>
    <row r="85" spans="1:7">
      <c r="A85" s="549"/>
      <c r="B85" s="549"/>
      <c r="C85" s="549"/>
      <c r="D85" s="549"/>
      <c r="E85" s="549"/>
      <c r="F85" s="549"/>
      <c r="G85" s="549"/>
    </row>
    <row r="86" spans="1:7">
      <c r="A86" s="549"/>
      <c r="B86" s="549"/>
      <c r="C86" s="549"/>
      <c r="D86" s="549"/>
      <c r="E86" s="549"/>
      <c r="F86" s="549"/>
      <c r="G86" s="549"/>
    </row>
    <row r="87" spans="1:7">
      <c r="A87" s="549"/>
      <c r="B87" s="549"/>
      <c r="C87" s="549"/>
      <c r="D87" s="549"/>
      <c r="E87" s="549"/>
      <c r="F87" s="549"/>
      <c r="G87" s="549"/>
    </row>
    <row r="88" spans="1:7">
      <c r="A88" s="549"/>
      <c r="B88" s="549"/>
      <c r="C88" s="549"/>
      <c r="D88" s="549"/>
      <c r="E88" s="549"/>
      <c r="F88" s="549"/>
      <c r="G88" s="549"/>
    </row>
    <row r="89" spans="1:7">
      <c r="A89" s="549"/>
      <c r="B89" s="549"/>
      <c r="C89" s="549"/>
      <c r="D89" s="549"/>
      <c r="E89" s="549"/>
      <c r="F89" s="549"/>
      <c r="G89" s="549"/>
    </row>
    <row r="90" spans="1:7">
      <c r="A90" s="549"/>
      <c r="B90" s="549"/>
      <c r="C90" s="549"/>
      <c r="D90" s="549"/>
      <c r="E90" s="549"/>
      <c r="F90" s="549"/>
      <c r="G90" s="549"/>
    </row>
    <row r="91" spans="1:7">
      <c r="A91" s="549"/>
      <c r="B91" s="549"/>
      <c r="C91" s="549"/>
      <c r="D91" s="549"/>
      <c r="E91" s="549"/>
      <c r="F91" s="549"/>
      <c r="G91" s="549"/>
    </row>
    <row r="92" spans="1:7">
      <c r="A92" s="549"/>
      <c r="B92" s="549"/>
      <c r="C92" s="549"/>
      <c r="D92" s="549"/>
      <c r="E92" s="549"/>
      <c r="F92" s="549"/>
      <c r="G92" s="549"/>
    </row>
    <row r="93" spans="1:7">
      <c r="A93" s="549"/>
      <c r="B93" s="549"/>
      <c r="C93" s="549"/>
      <c r="D93" s="549"/>
      <c r="E93" s="549"/>
      <c r="F93" s="549"/>
      <c r="G93" s="549"/>
    </row>
    <row r="94" spans="1:7">
      <c r="A94" s="549"/>
      <c r="B94" s="549"/>
      <c r="C94" s="549"/>
      <c r="D94" s="549"/>
      <c r="E94" s="549"/>
      <c r="F94" s="549"/>
      <c r="G94" s="549"/>
    </row>
    <row r="95" spans="1:7">
      <c r="A95" s="549"/>
      <c r="B95" s="549"/>
      <c r="C95" s="549"/>
      <c r="D95" s="549"/>
      <c r="E95" s="549"/>
      <c r="F95" s="549"/>
      <c r="G95" s="549"/>
    </row>
    <row r="96" spans="1:7">
      <c r="A96" s="549"/>
      <c r="B96" s="549"/>
      <c r="C96" s="549"/>
      <c r="D96" s="549"/>
      <c r="E96" s="549"/>
      <c r="F96" s="549"/>
      <c r="G96" s="549"/>
    </row>
    <row r="97" spans="1:7">
      <c r="A97" s="549"/>
      <c r="B97" s="549"/>
      <c r="C97" s="549"/>
      <c r="D97" s="549"/>
      <c r="E97" s="549"/>
      <c r="F97" s="549"/>
      <c r="G97" s="549"/>
    </row>
    <row r="98" spans="1:7">
      <c r="A98" s="549"/>
      <c r="B98" s="549"/>
      <c r="C98" s="549"/>
      <c r="D98" s="549"/>
      <c r="E98" s="549"/>
      <c r="F98" s="549"/>
      <c r="G98" s="549"/>
    </row>
    <row r="99" spans="1:7">
      <c r="A99" s="549"/>
      <c r="B99" s="549"/>
      <c r="C99" s="549"/>
      <c r="D99" s="549"/>
      <c r="E99" s="549"/>
      <c r="F99" s="549"/>
      <c r="G99" s="549"/>
    </row>
    <row r="100" spans="1:7">
      <c r="A100" s="549"/>
      <c r="B100" s="549"/>
      <c r="C100" s="549"/>
      <c r="D100" s="549"/>
      <c r="E100" s="549"/>
      <c r="F100" s="549"/>
      <c r="G100" s="549"/>
    </row>
    <row r="101" spans="1:7">
      <c r="A101" s="549"/>
      <c r="B101" s="549"/>
      <c r="C101" s="549"/>
      <c r="D101" s="549"/>
      <c r="E101" s="549"/>
      <c r="F101" s="549"/>
      <c r="G101" s="549"/>
    </row>
    <row r="102" spans="1:7">
      <c r="A102" s="549"/>
      <c r="B102" s="549"/>
      <c r="C102" s="549"/>
      <c r="D102" s="549"/>
      <c r="E102" s="549"/>
      <c r="F102" s="549"/>
      <c r="G102" s="549"/>
    </row>
    <row r="103" spans="1:7">
      <c r="A103" s="549"/>
      <c r="B103" s="549"/>
      <c r="C103" s="549"/>
      <c r="D103" s="549"/>
      <c r="E103" s="549"/>
      <c r="F103" s="549"/>
      <c r="G103" s="549"/>
    </row>
    <row r="104" spans="1:7">
      <c r="A104" s="549"/>
      <c r="B104" s="549"/>
      <c r="C104" s="549"/>
      <c r="D104" s="549"/>
      <c r="E104" s="549"/>
      <c r="F104" s="549"/>
      <c r="G104" s="549"/>
    </row>
    <row r="105" spans="1:7">
      <c r="A105" s="549"/>
      <c r="B105" s="549"/>
      <c r="C105" s="549"/>
      <c r="D105" s="549"/>
      <c r="E105" s="549"/>
      <c r="F105" s="549"/>
      <c r="G105" s="549"/>
    </row>
    <row r="106" spans="1:7">
      <c r="A106" s="549"/>
      <c r="B106" s="549"/>
      <c r="C106" s="549"/>
      <c r="D106" s="549"/>
      <c r="E106" s="549"/>
      <c r="F106" s="549"/>
      <c r="G106" s="549"/>
    </row>
    <row r="107" spans="1:7">
      <c r="A107" s="549"/>
      <c r="B107" s="549"/>
      <c r="C107" s="549"/>
      <c r="D107" s="549"/>
      <c r="E107" s="549"/>
      <c r="F107" s="549"/>
      <c r="G107" s="549"/>
    </row>
    <row r="108" spans="1:7">
      <c r="A108" s="549"/>
      <c r="B108" s="549"/>
      <c r="C108" s="549"/>
      <c r="D108" s="549"/>
      <c r="E108" s="549"/>
      <c r="F108" s="549"/>
      <c r="G108" s="549"/>
    </row>
    <row r="109" spans="1:7">
      <c r="A109" s="549"/>
      <c r="B109" s="549"/>
      <c r="C109" s="549"/>
      <c r="D109" s="549"/>
      <c r="E109" s="549"/>
      <c r="F109" s="549"/>
      <c r="G109" s="549"/>
    </row>
    <row r="110" spans="1:7">
      <c r="A110" s="549"/>
      <c r="B110" s="549"/>
      <c r="C110" s="549"/>
      <c r="D110" s="549"/>
      <c r="E110" s="549"/>
      <c r="F110" s="549"/>
      <c r="G110" s="549"/>
    </row>
    <row r="111" spans="1:7">
      <c r="A111" s="549"/>
      <c r="B111" s="549"/>
      <c r="C111" s="549"/>
      <c r="D111" s="549"/>
      <c r="E111" s="549"/>
      <c r="F111" s="549"/>
      <c r="G111" s="549"/>
    </row>
    <row r="112" spans="1:7">
      <c r="A112" s="549"/>
      <c r="B112" s="549"/>
      <c r="C112" s="549"/>
      <c r="D112" s="549"/>
      <c r="E112" s="549"/>
      <c r="F112" s="549"/>
      <c r="G112" s="549"/>
    </row>
    <row r="113" spans="1:7">
      <c r="A113" s="549"/>
      <c r="B113" s="549"/>
      <c r="C113" s="549"/>
      <c r="D113" s="549"/>
      <c r="E113" s="549"/>
      <c r="F113" s="549"/>
      <c r="G113" s="549"/>
    </row>
    <row r="114" spans="1:7">
      <c r="A114" s="549"/>
      <c r="B114" s="549"/>
      <c r="C114" s="549"/>
      <c r="D114" s="549"/>
      <c r="E114" s="549"/>
      <c r="F114" s="549"/>
      <c r="G114" s="549"/>
    </row>
    <row r="115" spans="1:7">
      <c r="A115" s="549"/>
      <c r="B115" s="549"/>
      <c r="C115" s="549"/>
      <c r="D115" s="549"/>
      <c r="E115" s="549"/>
      <c r="F115" s="549"/>
      <c r="G115" s="549"/>
    </row>
    <row r="116" spans="1:7">
      <c r="A116" s="549"/>
      <c r="B116" s="549"/>
      <c r="C116" s="549"/>
      <c r="D116" s="549"/>
      <c r="E116" s="549"/>
      <c r="F116" s="549"/>
      <c r="G116" s="549"/>
    </row>
    <row r="117" spans="1:7">
      <c r="A117" s="549"/>
      <c r="B117" s="549"/>
      <c r="C117" s="549"/>
      <c r="D117" s="549"/>
      <c r="E117" s="549"/>
      <c r="F117" s="549"/>
      <c r="G117" s="549"/>
    </row>
    <row r="118" spans="1:7">
      <c r="A118" s="549"/>
      <c r="B118" s="549"/>
      <c r="C118" s="549"/>
      <c r="D118" s="549"/>
      <c r="E118" s="549"/>
      <c r="F118" s="549"/>
      <c r="G118" s="549"/>
    </row>
    <row r="119" spans="1:7">
      <c r="A119" s="549"/>
      <c r="B119" s="549"/>
      <c r="C119" s="549"/>
      <c r="D119" s="549"/>
      <c r="E119" s="549"/>
      <c r="F119" s="549"/>
      <c r="G119" s="549"/>
    </row>
    <row r="120" spans="1:7">
      <c r="A120" s="549"/>
      <c r="B120" s="549"/>
      <c r="C120" s="549"/>
      <c r="D120" s="549"/>
      <c r="E120" s="549"/>
      <c r="F120" s="549"/>
      <c r="G120" s="549"/>
    </row>
    <row r="121" spans="1:7">
      <c r="A121" s="549"/>
      <c r="B121" s="549"/>
      <c r="C121" s="549"/>
      <c r="D121" s="549"/>
      <c r="E121" s="549"/>
      <c r="F121" s="549"/>
      <c r="G121" s="549"/>
    </row>
    <row r="122" spans="1:7">
      <c r="A122" s="549"/>
      <c r="B122" s="549"/>
      <c r="C122" s="549"/>
      <c r="D122" s="549"/>
      <c r="E122" s="549"/>
      <c r="F122" s="549"/>
      <c r="G122" s="549"/>
    </row>
    <row r="123" spans="1:7">
      <c r="A123" s="549"/>
      <c r="B123" s="549"/>
      <c r="C123" s="549"/>
      <c r="D123" s="549"/>
      <c r="E123" s="549"/>
      <c r="F123" s="549"/>
      <c r="G123" s="549"/>
    </row>
    <row r="124" spans="1:7">
      <c r="A124" s="549"/>
      <c r="B124" s="549"/>
      <c r="C124" s="549"/>
      <c r="D124" s="549"/>
      <c r="E124" s="549"/>
      <c r="F124" s="549"/>
      <c r="G124" s="549"/>
    </row>
    <row r="125" spans="1:7">
      <c r="A125" s="549"/>
      <c r="B125" s="549"/>
      <c r="C125" s="549"/>
      <c r="D125" s="549"/>
      <c r="E125" s="549"/>
      <c r="F125" s="549"/>
      <c r="G125" s="549"/>
    </row>
    <row r="126" spans="1:7">
      <c r="A126" s="549"/>
      <c r="B126" s="549"/>
      <c r="C126" s="549"/>
      <c r="D126" s="549"/>
      <c r="E126" s="549"/>
      <c r="F126" s="549"/>
      <c r="G126" s="549"/>
    </row>
    <row r="127" spans="1:7">
      <c r="A127" s="549"/>
      <c r="B127" s="549"/>
      <c r="C127" s="549"/>
      <c r="D127" s="549"/>
      <c r="E127" s="549"/>
      <c r="F127" s="549"/>
      <c r="G127" s="549"/>
    </row>
    <row r="128" spans="1:7">
      <c r="A128" s="549"/>
      <c r="B128" s="549"/>
      <c r="C128" s="549"/>
      <c r="D128" s="549"/>
      <c r="E128" s="549"/>
      <c r="F128" s="549"/>
      <c r="G128" s="549"/>
    </row>
    <row r="129" spans="1:7">
      <c r="A129" s="549"/>
      <c r="B129" s="549"/>
      <c r="C129" s="549"/>
      <c r="D129" s="549"/>
      <c r="E129" s="549"/>
      <c r="F129" s="549"/>
      <c r="G129" s="549"/>
    </row>
    <row r="130" spans="1:7">
      <c r="A130" s="549"/>
      <c r="B130" s="549"/>
      <c r="C130" s="549"/>
      <c r="D130" s="549"/>
      <c r="E130" s="549"/>
      <c r="F130" s="549"/>
      <c r="G130" s="549"/>
    </row>
    <row r="131" spans="1:7">
      <c r="A131" s="549"/>
      <c r="B131" s="549"/>
      <c r="C131" s="549"/>
      <c r="D131" s="549"/>
      <c r="E131" s="549"/>
      <c r="F131" s="549"/>
      <c r="G131" s="549"/>
    </row>
    <row r="132" spans="1:7">
      <c r="A132" s="549"/>
      <c r="B132" s="549"/>
      <c r="C132" s="549"/>
      <c r="D132" s="549"/>
      <c r="E132" s="549"/>
      <c r="F132" s="549"/>
      <c r="G132" s="549"/>
    </row>
    <row r="133" spans="1:7">
      <c r="A133" s="549"/>
      <c r="B133" s="549"/>
      <c r="C133" s="549"/>
      <c r="D133" s="549"/>
      <c r="E133" s="549"/>
      <c r="F133" s="549"/>
      <c r="G133" s="549"/>
    </row>
    <row r="134" spans="1:7">
      <c r="A134" s="549"/>
      <c r="B134" s="549"/>
      <c r="C134" s="549"/>
      <c r="D134" s="549"/>
      <c r="E134" s="549"/>
      <c r="F134" s="549"/>
      <c r="G134" s="549"/>
    </row>
    <row r="135" spans="1:7">
      <c r="A135" s="549"/>
      <c r="B135" s="549"/>
      <c r="C135" s="549"/>
      <c r="D135" s="549"/>
      <c r="E135" s="549"/>
      <c r="F135" s="549"/>
      <c r="G135" s="549"/>
    </row>
    <row r="136" spans="1:7">
      <c r="A136" s="549"/>
      <c r="B136" s="549"/>
      <c r="C136" s="549"/>
      <c r="D136" s="549"/>
      <c r="E136" s="549"/>
      <c r="F136" s="549"/>
      <c r="G136" s="549"/>
    </row>
    <row r="137" spans="1:7">
      <c r="A137" s="549"/>
      <c r="B137" s="549"/>
      <c r="C137" s="549"/>
      <c r="D137" s="549"/>
      <c r="E137" s="549"/>
      <c r="F137" s="549"/>
      <c r="G137" s="549"/>
    </row>
    <row r="138" spans="1:7">
      <c r="A138" s="549"/>
      <c r="B138" s="549"/>
      <c r="C138" s="549"/>
      <c r="D138" s="549"/>
      <c r="E138" s="549"/>
      <c r="F138" s="549"/>
      <c r="G138" s="549"/>
    </row>
    <row r="139" spans="1:7">
      <c r="A139" s="549"/>
      <c r="B139" s="549"/>
      <c r="C139" s="549"/>
      <c r="D139" s="549"/>
      <c r="E139" s="549"/>
      <c r="F139" s="549"/>
      <c r="G139" s="549"/>
    </row>
    <row r="140" spans="1:7">
      <c r="A140" s="549"/>
      <c r="B140" s="549"/>
      <c r="C140" s="549"/>
      <c r="D140" s="549"/>
      <c r="E140" s="549"/>
      <c r="F140" s="549"/>
      <c r="G140" s="549"/>
    </row>
    <row r="141" spans="1:7">
      <c r="A141" s="549"/>
      <c r="B141" s="549"/>
      <c r="C141" s="549"/>
      <c r="D141" s="549"/>
      <c r="E141" s="549"/>
      <c r="F141" s="549"/>
      <c r="G141" s="549"/>
    </row>
    <row r="142" spans="1:7">
      <c r="A142" s="549"/>
      <c r="B142" s="549"/>
      <c r="C142" s="549"/>
      <c r="D142" s="549"/>
      <c r="E142" s="549"/>
      <c r="F142" s="549"/>
      <c r="G142" s="549"/>
    </row>
    <row r="143" spans="1:7">
      <c r="A143" s="549"/>
      <c r="B143" s="549"/>
      <c r="C143" s="549"/>
      <c r="D143" s="549"/>
      <c r="E143" s="549"/>
      <c r="F143" s="549"/>
      <c r="G143" s="549"/>
    </row>
    <row r="144" spans="1:7">
      <c r="A144" s="549"/>
      <c r="B144" s="549"/>
      <c r="C144" s="549"/>
      <c r="D144" s="549"/>
      <c r="E144" s="549"/>
      <c r="F144" s="549"/>
      <c r="G144" s="549"/>
    </row>
    <row r="145" spans="1:7">
      <c r="A145" s="549"/>
      <c r="B145" s="549"/>
      <c r="C145" s="549"/>
      <c r="D145" s="549"/>
      <c r="E145" s="549"/>
      <c r="F145" s="549"/>
      <c r="G145" s="549"/>
    </row>
    <row r="146" spans="1:7">
      <c r="A146" s="549"/>
      <c r="B146" s="549"/>
      <c r="C146" s="549"/>
      <c r="D146" s="549"/>
      <c r="E146" s="549"/>
      <c r="F146" s="549"/>
      <c r="G146" s="549"/>
    </row>
    <row r="147" spans="1:7">
      <c r="A147" s="549"/>
      <c r="B147" s="549"/>
      <c r="C147" s="549"/>
      <c r="D147" s="549"/>
      <c r="E147" s="549"/>
      <c r="F147" s="549"/>
      <c r="G147" s="549"/>
    </row>
    <row r="148" spans="1:7">
      <c r="A148" s="549"/>
      <c r="B148" s="549"/>
      <c r="C148" s="549"/>
      <c r="D148" s="549"/>
      <c r="E148" s="549"/>
      <c r="F148" s="549"/>
      <c r="G148" s="549"/>
    </row>
    <row r="149" spans="1:7">
      <c r="A149" s="549"/>
      <c r="B149" s="549"/>
      <c r="C149" s="549"/>
      <c r="D149" s="549"/>
      <c r="E149" s="549"/>
      <c r="F149" s="549"/>
      <c r="G149" s="549"/>
    </row>
    <row r="150" spans="1:7">
      <c r="A150" s="549"/>
      <c r="B150" s="549"/>
      <c r="C150" s="549"/>
      <c r="D150" s="549"/>
      <c r="E150" s="549"/>
      <c r="F150" s="549"/>
      <c r="G150" s="549"/>
    </row>
    <row r="151" spans="1:7">
      <c r="A151" s="549"/>
      <c r="B151" s="549"/>
      <c r="C151" s="549"/>
      <c r="D151" s="549"/>
      <c r="E151" s="549"/>
      <c r="F151" s="549"/>
      <c r="G151" s="549"/>
    </row>
    <row r="152" spans="1:7">
      <c r="A152" s="549"/>
      <c r="B152" s="549"/>
      <c r="C152" s="549"/>
      <c r="D152" s="549"/>
      <c r="E152" s="549"/>
      <c r="F152" s="549"/>
      <c r="G152" s="549"/>
    </row>
    <row r="153" spans="1:7">
      <c r="A153" s="549"/>
      <c r="B153" s="549"/>
      <c r="C153" s="549"/>
      <c r="D153" s="549"/>
      <c r="E153" s="549"/>
      <c r="F153" s="549"/>
      <c r="G153" s="549"/>
    </row>
    <row r="154" spans="1:7">
      <c r="A154" s="549"/>
      <c r="B154" s="549"/>
      <c r="C154" s="549"/>
      <c r="D154" s="549"/>
      <c r="E154" s="549"/>
      <c r="F154" s="549"/>
      <c r="G154" s="549"/>
    </row>
    <row r="155" spans="1:7">
      <c r="A155" s="549"/>
      <c r="B155" s="549"/>
      <c r="C155" s="549"/>
      <c r="D155" s="549"/>
      <c r="E155" s="549"/>
      <c r="F155" s="549"/>
      <c r="G155" s="549"/>
    </row>
    <row r="156" spans="1:7">
      <c r="A156" s="549"/>
      <c r="B156" s="549"/>
      <c r="C156" s="549"/>
      <c r="D156" s="549"/>
      <c r="E156" s="549"/>
      <c r="F156" s="549"/>
      <c r="G156" s="549"/>
    </row>
    <row r="157" spans="1:7">
      <c r="A157" s="549"/>
      <c r="B157" s="549"/>
      <c r="C157" s="549"/>
      <c r="D157" s="549"/>
      <c r="E157" s="549"/>
      <c r="F157" s="549"/>
      <c r="G157" s="549"/>
    </row>
    <row r="158" spans="1:7">
      <c r="A158" s="549"/>
      <c r="B158" s="549"/>
      <c r="C158" s="549"/>
      <c r="D158" s="549"/>
      <c r="E158" s="549"/>
      <c r="F158" s="549"/>
      <c r="G158" s="549"/>
    </row>
    <row r="159" spans="1:7">
      <c r="A159" s="549"/>
      <c r="B159" s="549"/>
      <c r="C159" s="549"/>
      <c r="D159" s="549"/>
      <c r="E159" s="549"/>
      <c r="F159" s="549"/>
      <c r="G159" s="549"/>
    </row>
    <row r="160" spans="1:7">
      <c r="A160" s="549"/>
      <c r="B160" s="549"/>
      <c r="C160" s="549"/>
      <c r="D160" s="549"/>
      <c r="E160" s="549"/>
      <c r="F160" s="549"/>
      <c r="G160" s="549"/>
    </row>
    <row r="161" spans="1:7">
      <c r="A161" s="549"/>
      <c r="B161" s="549"/>
      <c r="C161" s="549"/>
      <c r="D161" s="549"/>
      <c r="E161" s="549"/>
      <c r="F161" s="549"/>
      <c r="G161" s="549"/>
    </row>
    <row r="162" spans="1:7">
      <c r="A162" s="549"/>
      <c r="B162" s="549"/>
      <c r="C162" s="549"/>
      <c r="D162" s="549"/>
      <c r="E162" s="549"/>
      <c r="F162" s="549"/>
      <c r="G162" s="549"/>
    </row>
    <row r="163" spans="1:7">
      <c r="A163" s="549"/>
      <c r="B163" s="549"/>
      <c r="C163" s="549"/>
      <c r="D163" s="549"/>
      <c r="E163" s="549"/>
      <c r="F163" s="549"/>
      <c r="G163" s="549"/>
    </row>
    <row r="164" spans="1:7">
      <c r="A164" s="549"/>
      <c r="B164" s="549"/>
      <c r="C164" s="549"/>
      <c r="D164" s="549"/>
      <c r="E164" s="549"/>
      <c r="F164" s="549"/>
      <c r="G164" s="549"/>
    </row>
    <row r="165" spans="1:7">
      <c r="A165" s="549"/>
      <c r="B165" s="549"/>
      <c r="C165" s="549"/>
      <c r="D165" s="549"/>
      <c r="E165" s="549"/>
      <c r="F165" s="549"/>
      <c r="G165" s="549"/>
    </row>
    <row r="166" spans="1:7">
      <c r="A166" s="549"/>
      <c r="B166" s="549"/>
      <c r="C166" s="549"/>
      <c r="D166" s="549"/>
      <c r="E166" s="549"/>
      <c r="F166" s="549"/>
      <c r="G166" s="549"/>
    </row>
    <row r="167" spans="1:7">
      <c r="A167" s="549"/>
      <c r="B167" s="549"/>
      <c r="C167" s="549"/>
      <c r="D167" s="549"/>
      <c r="E167" s="549"/>
      <c r="F167" s="549"/>
      <c r="G167" s="549"/>
    </row>
    <row r="168" spans="1:7">
      <c r="A168" s="549"/>
      <c r="B168" s="549"/>
      <c r="C168" s="549"/>
      <c r="D168" s="549"/>
      <c r="E168" s="549"/>
      <c r="F168" s="549"/>
      <c r="G168" s="549"/>
    </row>
    <row r="169" spans="1:7">
      <c r="A169" s="549"/>
      <c r="B169" s="549"/>
      <c r="C169" s="549"/>
      <c r="D169" s="549"/>
      <c r="E169" s="549"/>
      <c r="F169" s="549"/>
      <c r="G169" s="549"/>
    </row>
    <row r="170" spans="1:7">
      <c r="A170" s="549"/>
      <c r="B170" s="549"/>
      <c r="C170" s="549"/>
      <c r="D170" s="549"/>
      <c r="E170" s="549"/>
      <c r="F170" s="549"/>
      <c r="G170" s="549"/>
    </row>
    <row r="171" spans="1:7">
      <c r="A171" s="549"/>
      <c r="B171" s="549"/>
      <c r="C171" s="549"/>
      <c r="D171" s="549"/>
      <c r="E171" s="549"/>
      <c r="F171" s="549"/>
      <c r="G171" s="549"/>
    </row>
    <row r="172" spans="1:7">
      <c r="A172" s="549"/>
      <c r="B172" s="549"/>
      <c r="C172" s="549"/>
      <c r="D172" s="549"/>
      <c r="E172" s="549"/>
      <c r="F172" s="549"/>
      <c r="G172" s="549"/>
    </row>
    <row r="173" spans="1:7">
      <c r="A173" s="549"/>
      <c r="B173" s="549"/>
      <c r="C173" s="549"/>
      <c r="D173" s="549"/>
      <c r="E173" s="549"/>
      <c r="F173" s="549"/>
      <c r="G173" s="549"/>
    </row>
    <row r="174" spans="1:7">
      <c r="A174" s="549"/>
      <c r="B174" s="549"/>
      <c r="C174" s="549"/>
      <c r="D174" s="549"/>
      <c r="E174" s="549"/>
      <c r="F174" s="549"/>
      <c r="G174" s="549"/>
    </row>
    <row r="175" spans="1:7">
      <c r="A175" s="549"/>
      <c r="B175" s="549"/>
      <c r="C175" s="549"/>
      <c r="D175" s="549"/>
      <c r="E175" s="549"/>
      <c r="F175" s="549"/>
      <c r="G175" s="549"/>
    </row>
    <row r="176" spans="1:7">
      <c r="A176" s="549"/>
      <c r="B176" s="549"/>
      <c r="C176" s="549"/>
      <c r="D176" s="549"/>
      <c r="E176" s="549"/>
      <c r="F176" s="549"/>
      <c r="G176" s="549"/>
    </row>
    <row r="177" spans="1:7">
      <c r="A177" s="549"/>
      <c r="B177" s="549"/>
      <c r="C177" s="549"/>
      <c r="D177" s="549"/>
      <c r="E177" s="549"/>
      <c r="F177" s="549"/>
      <c r="G177" s="549"/>
    </row>
    <row r="178" spans="1:7">
      <c r="A178" s="549"/>
      <c r="B178" s="549"/>
      <c r="C178" s="549"/>
      <c r="D178" s="549"/>
      <c r="E178" s="549"/>
      <c r="F178" s="549"/>
      <c r="G178" s="549"/>
    </row>
    <row r="179" spans="1:7">
      <c r="A179" s="549"/>
      <c r="B179" s="549"/>
      <c r="C179" s="549"/>
      <c r="D179" s="549"/>
      <c r="E179" s="549"/>
      <c r="F179" s="549"/>
      <c r="G179" s="549"/>
    </row>
    <row r="180" spans="1:7">
      <c r="A180" s="549"/>
      <c r="B180" s="549"/>
      <c r="C180" s="549"/>
      <c r="D180" s="549"/>
      <c r="E180" s="549"/>
      <c r="F180" s="549"/>
      <c r="G180" s="549"/>
    </row>
    <row r="181" spans="1:7">
      <c r="A181" s="549"/>
      <c r="B181" s="549"/>
      <c r="C181" s="549"/>
      <c r="D181" s="549"/>
      <c r="E181" s="549"/>
      <c r="F181" s="549"/>
      <c r="G181" s="549"/>
    </row>
    <row r="182" spans="1:7">
      <c r="A182" s="549"/>
      <c r="B182" s="549"/>
      <c r="C182" s="549"/>
      <c r="D182" s="549"/>
      <c r="E182" s="549"/>
      <c r="F182" s="549"/>
      <c r="G182" s="549"/>
    </row>
    <row r="183" spans="1:7">
      <c r="A183" s="549"/>
      <c r="B183" s="549"/>
      <c r="C183" s="549"/>
      <c r="D183" s="549"/>
      <c r="E183" s="549"/>
      <c r="F183" s="549"/>
      <c r="G183" s="549"/>
    </row>
    <row r="184" spans="1:7">
      <c r="A184" s="549"/>
      <c r="B184" s="549"/>
      <c r="C184" s="549"/>
      <c r="D184" s="549"/>
      <c r="E184" s="549"/>
      <c r="F184" s="549"/>
      <c r="G184" s="549"/>
    </row>
    <row r="185" spans="1:7">
      <c r="A185" s="549"/>
      <c r="B185" s="549"/>
      <c r="C185" s="549"/>
      <c r="D185" s="549"/>
      <c r="E185" s="549"/>
      <c r="F185" s="549"/>
      <c r="G185" s="549"/>
    </row>
    <row r="186" spans="1:7">
      <c r="A186" s="549"/>
      <c r="B186" s="549"/>
      <c r="C186" s="549"/>
      <c r="D186" s="549"/>
      <c r="E186" s="549"/>
      <c r="F186" s="549"/>
      <c r="G186" s="549"/>
    </row>
    <row r="187" spans="1:7">
      <c r="A187" s="549"/>
      <c r="B187" s="549"/>
      <c r="C187" s="549"/>
      <c r="D187" s="549"/>
      <c r="E187" s="549"/>
      <c r="F187" s="549"/>
      <c r="G187" s="549"/>
    </row>
    <row r="188" spans="1:7">
      <c r="A188" s="549"/>
      <c r="B188" s="549"/>
      <c r="C188" s="549"/>
      <c r="D188" s="549"/>
      <c r="E188" s="549"/>
      <c r="F188" s="549"/>
      <c r="G188" s="549"/>
    </row>
    <row r="189" spans="1:7">
      <c r="A189" s="549"/>
      <c r="B189" s="549"/>
      <c r="C189" s="549"/>
      <c r="D189" s="549"/>
      <c r="E189" s="549"/>
      <c r="F189" s="549"/>
      <c r="G189" s="549"/>
    </row>
    <row r="190" spans="1:7">
      <c r="A190" s="549"/>
      <c r="B190" s="549"/>
      <c r="C190" s="549"/>
      <c r="D190" s="549"/>
      <c r="E190" s="549"/>
      <c r="F190" s="549"/>
      <c r="G190" s="549"/>
    </row>
    <row r="191" spans="1:7">
      <c r="A191" s="549"/>
      <c r="B191" s="549"/>
      <c r="C191" s="549"/>
      <c r="D191" s="549"/>
      <c r="E191" s="549"/>
      <c r="F191" s="549"/>
      <c r="G191" s="549"/>
    </row>
    <row r="192" spans="1:7">
      <c r="A192" s="549"/>
      <c r="B192" s="549"/>
      <c r="C192" s="549"/>
      <c r="D192" s="549"/>
      <c r="E192" s="549"/>
      <c r="F192" s="549"/>
      <c r="G192" s="549"/>
    </row>
    <row r="193" spans="1:7">
      <c r="A193" s="549"/>
      <c r="B193" s="549"/>
      <c r="C193" s="549"/>
      <c r="D193" s="549"/>
      <c r="E193" s="549"/>
      <c r="F193" s="549"/>
      <c r="G193" s="549"/>
    </row>
    <row r="194" spans="1:7">
      <c r="A194" s="549"/>
      <c r="B194" s="549"/>
      <c r="C194" s="549"/>
      <c r="D194" s="549"/>
      <c r="E194" s="549"/>
      <c r="F194" s="549"/>
      <c r="G194" s="549"/>
    </row>
    <row r="195" spans="1:7">
      <c r="A195" s="549"/>
      <c r="B195" s="549"/>
      <c r="C195" s="549"/>
      <c r="D195" s="549"/>
      <c r="E195" s="549"/>
      <c r="F195" s="549"/>
      <c r="G195" s="549"/>
    </row>
    <row r="196" spans="1:7">
      <c r="A196" s="549"/>
      <c r="B196" s="549"/>
      <c r="C196" s="549"/>
      <c r="D196" s="549"/>
      <c r="E196" s="549"/>
      <c r="F196" s="549"/>
      <c r="G196" s="549"/>
    </row>
    <row r="197" spans="1:7">
      <c r="A197" s="549"/>
      <c r="B197" s="549"/>
      <c r="C197" s="549"/>
      <c r="D197" s="549"/>
      <c r="E197" s="549"/>
      <c r="F197" s="549"/>
      <c r="G197" s="549"/>
    </row>
    <row r="198" spans="1:7">
      <c r="A198" s="549"/>
      <c r="B198" s="549"/>
      <c r="C198" s="549"/>
      <c r="D198" s="549"/>
      <c r="E198" s="549"/>
      <c r="F198" s="549"/>
      <c r="G198" s="549"/>
    </row>
    <row r="199" spans="1:7">
      <c r="A199" s="549"/>
      <c r="B199" s="549"/>
      <c r="C199" s="549"/>
      <c r="D199" s="549"/>
      <c r="E199" s="549"/>
      <c r="F199" s="549"/>
      <c r="G199" s="549"/>
    </row>
    <row r="200" spans="1:7">
      <c r="A200" s="549"/>
      <c r="B200" s="549"/>
      <c r="C200" s="549"/>
      <c r="D200" s="549"/>
      <c r="E200" s="549"/>
      <c r="F200" s="549"/>
      <c r="G200" s="549"/>
    </row>
    <row r="201" spans="1:7">
      <c r="A201" s="549"/>
      <c r="B201" s="549"/>
      <c r="C201" s="549"/>
      <c r="D201" s="549"/>
      <c r="E201" s="549"/>
      <c r="F201" s="549"/>
      <c r="G201" s="549"/>
    </row>
    <row r="202" spans="1:7">
      <c r="A202" s="549"/>
      <c r="B202" s="549"/>
      <c r="C202" s="549"/>
      <c r="D202" s="549"/>
      <c r="E202" s="549"/>
      <c r="F202" s="549"/>
      <c r="G202" s="549"/>
    </row>
    <row r="203" spans="1:7">
      <c r="A203" s="549"/>
      <c r="B203" s="549"/>
      <c r="C203" s="549"/>
      <c r="D203" s="549"/>
      <c r="E203" s="549"/>
      <c r="F203" s="549"/>
      <c r="G203" s="549"/>
    </row>
    <row r="204" spans="1:7">
      <c r="A204" s="549"/>
      <c r="B204" s="549"/>
      <c r="C204" s="549"/>
      <c r="D204" s="549"/>
      <c r="E204" s="549"/>
      <c r="F204" s="549"/>
      <c r="G204" s="549"/>
    </row>
    <row r="205" spans="1:7">
      <c r="A205" s="549"/>
      <c r="B205" s="549"/>
      <c r="C205" s="549"/>
      <c r="D205" s="549"/>
      <c r="E205" s="549"/>
      <c r="F205" s="549"/>
      <c r="G205" s="549"/>
    </row>
    <row r="206" spans="1:7">
      <c r="A206" s="549"/>
      <c r="B206" s="549"/>
      <c r="C206" s="549"/>
      <c r="D206" s="549"/>
      <c r="E206" s="549"/>
      <c r="F206" s="549"/>
      <c r="G206" s="549"/>
    </row>
    <row r="207" spans="1:7">
      <c r="A207" s="549"/>
      <c r="B207" s="549"/>
      <c r="C207" s="549"/>
      <c r="D207" s="549"/>
      <c r="E207" s="549"/>
      <c r="F207" s="549"/>
      <c r="G207" s="549"/>
    </row>
    <row r="208" spans="1:7">
      <c r="A208" s="549"/>
      <c r="B208" s="549"/>
      <c r="C208" s="549"/>
      <c r="D208" s="549"/>
      <c r="E208" s="549"/>
      <c r="F208" s="549"/>
      <c r="G208" s="549"/>
    </row>
    <row r="209" spans="1:7">
      <c r="A209" s="549"/>
      <c r="B209" s="549"/>
      <c r="C209" s="549"/>
      <c r="D209" s="549"/>
      <c r="E209" s="549"/>
      <c r="F209" s="549"/>
      <c r="G209" s="549"/>
    </row>
    <row r="210" spans="1:7">
      <c r="A210" s="549"/>
      <c r="B210" s="549"/>
      <c r="C210" s="549"/>
      <c r="D210" s="549"/>
      <c r="E210" s="549"/>
      <c r="F210" s="549"/>
      <c r="G210" s="549"/>
    </row>
    <row r="211" spans="1:7">
      <c r="A211" s="549"/>
      <c r="B211" s="549"/>
      <c r="C211" s="549"/>
      <c r="D211" s="549"/>
      <c r="E211" s="549"/>
      <c r="F211" s="549"/>
      <c r="G211" s="549"/>
    </row>
    <row r="212" spans="1:7">
      <c r="A212" s="549"/>
      <c r="B212" s="549"/>
      <c r="C212" s="549"/>
      <c r="D212" s="549"/>
      <c r="E212" s="549"/>
      <c r="F212" s="549"/>
      <c r="G212" s="549"/>
    </row>
    <row r="213" spans="1:7">
      <c r="A213" s="549"/>
      <c r="B213" s="549"/>
      <c r="C213" s="549"/>
      <c r="D213" s="549"/>
      <c r="E213" s="549"/>
      <c r="F213" s="549"/>
      <c r="G213" s="549"/>
    </row>
    <row r="214" spans="1:7">
      <c r="A214" s="549"/>
      <c r="B214" s="549"/>
      <c r="C214" s="549"/>
      <c r="D214" s="549"/>
      <c r="E214" s="549"/>
      <c r="F214" s="549"/>
      <c r="G214" s="549"/>
    </row>
    <row r="215" spans="1:7">
      <c r="A215" s="549"/>
      <c r="B215" s="549"/>
      <c r="C215" s="549"/>
      <c r="D215" s="549"/>
      <c r="E215" s="549"/>
      <c r="F215" s="549"/>
      <c r="G215" s="549"/>
    </row>
    <row r="216" spans="1:7">
      <c r="A216" s="549"/>
      <c r="B216" s="549"/>
      <c r="C216" s="549"/>
      <c r="D216" s="549"/>
      <c r="E216" s="549"/>
      <c r="F216" s="549"/>
      <c r="G216" s="549"/>
    </row>
    <row r="217" spans="1:7">
      <c r="A217" s="549"/>
      <c r="B217" s="549"/>
      <c r="C217" s="549"/>
      <c r="D217" s="549"/>
      <c r="E217" s="549"/>
      <c r="F217" s="549"/>
      <c r="G217" s="549"/>
    </row>
    <row r="218" spans="1:7">
      <c r="A218" s="549"/>
      <c r="B218" s="549"/>
      <c r="C218" s="549"/>
      <c r="D218" s="549"/>
      <c r="E218" s="549"/>
      <c r="F218" s="549"/>
      <c r="G218" s="549"/>
    </row>
    <row r="219" spans="1:7">
      <c r="A219" s="549"/>
      <c r="B219" s="549"/>
      <c r="C219" s="549"/>
      <c r="D219" s="549"/>
      <c r="E219" s="549"/>
      <c r="F219" s="549"/>
      <c r="G219" s="549"/>
    </row>
    <row r="220" spans="1:7">
      <c r="A220" s="549"/>
      <c r="B220" s="549"/>
      <c r="C220" s="549"/>
      <c r="D220" s="549"/>
      <c r="E220" s="549"/>
      <c r="F220" s="549"/>
      <c r="G220" s="549"/>
    </row>
    <row r="221" spans="1:7">
      <c r="A221" s="549"/>
      <c r="B221" s="549"/>
      <c r="C221" s="549"/>
      <c r="D221" s="549"/>
      <c r="E221" s="549"/>
      <c r="F221" s="549"/>
      <c r="G221" s="549"/>
    </row>
    <row r="222" spans="1:7">
      <c r="A222" s="549"/>
      <c r="B222" s="549"/>
      <c r="C222" s="549"/>
      <c r="D222" s="549"/>
      <c r="E222" s="549"/>
      <c r="F222" s="549"/>
      <c r="G222" s="549"/>
    </row>
    <row r="223" spans="1:7">
      <c r="A223" s="549"/>
      <c r="B223" s="549"/>
      <c r="C223" s="549"/>
      <c r="D223" s="549"/>
      <c r="E223" s="549"/>
      <c r="F223" s="549"/>
      <c r="G223" s="549"/>
    </row>
    <row r="224" spans="1:7">
      <c r="A224" s="549"/>
      <c r="B224" s="549"/>
      <c r="C224" s="549"/>
      <c r="D224" s="549"/>
      <c r="E224" s="549"/>
      <c r="F224" s="549"/>
      <c r="G224" s="549"/>
    </row>
    <row r="225" spans="1:7">
      <c r="A225" s="549"/>
      <c r="B225" s="549"/>
      <c r="C225" s="549"/>
      <c r="D225" s="549"/>
      <c r="E225" s="549"/>
      <c r="F225" s="549"/>
      <c r="G225" s="549"/>
    </row>
    <row r="226" spans="1:7">
      <c r="A226" s="549"/>
      <c r="B226" s="549"/>
      <c r="C226" s="549"/>
      <c r="D226" s="549"/>
      <c r="E226" s="549"/>
      <c r="F226" s="549"/>
      <c r="G226" s="549"/>
    </row>
    <row r="227" spans="1:7">
      <c r="A227" s="549"/>
      <c r="B227" s="549"/>
      <c r="C227" s="549"/>
      <c r="D227" s="549"/>
      <c r="E227" s="549"/>
      <c r="F227" s="549"/>
      <c r="G227" s="549"/>
    </row>
    <row r="228" spans="1:7">
      <c r="A228" s="549"/>
      <c r="B228" s="549"/>
      <c r="C228" s="549"/>
      <c r="D228" s="549"/>
      <c r="E228" s="549"/>
      <c r="F228" s="549"/>
      <c r="G228" s="549"/>
    </row>
    <row r="229" spans="1:7">
      <c r="A229" s="549"/>
      <c r="B229" s="549"/>
      <c r="C229" s="549"/>
      <c r="D229" s="549"/>
      <c r="E229" s="549"/>
      <c r="F229" s="549"/>
      <c r="G229" s="549"/>
    </row>
    <row r="230" spans="1:7">
      <c r="A230" s="549"/>
      <c r="B230" s="549"/>
      <c r="C230" s="549"/>
      <c r="D230" s="549"/>
      <c r="E230" s="549"/>
      <c r="F230" s="549"/>
      <c r="G230" s="549"/>
    </row>
    <row r="231" spans="1:7">
      <c r="A231" s="549"/>
      <c r="B231" s="549"/>
      <c r="C231" s="549"/>
      <c r="D231" s="549"/>
      <c r="E231" s="549"/>
      <c r="F231" s="549"/>
      <c r="G231" s="549"/>
    </row>
    <row r="232" spans="1:7">
      <c r="A232" s="549"/>
      <c r="B232" s="549"/>
      <c r="C232" s="549"/>
      <c r="D232" s="549"/>
      <c r="E232" s="549"/>
      <c r="F232" s="549"/>
      <c r="G232" s="549"/>
    </row>
    <row r="233" spans="1:7">
      <c r="A233" s="549"/>
      <c r="B233" s="549"/>
      <c r="C233" s="549"/>
      <c r="D233" s="549"/>
      <c r="E233" s="549"/>
      <c r="F233" s="549"/>
      <c r="G233" s="549"/>
    </row>
    <row r="234" spans="1:7">
      <c r="A234" s="549"/>
      <c r="B234" s="549"/>
      <c r="C234" s="549"/>
      <c r="D234" s="549"/>
      <c r="E234" s="549"/>
      <c r="F234" s="549"/>
      <c r="G234" s="549"/>
    </row>
    <row r="235" spans="1:7">
      <c r="A235" s="549"/>
      <c r="B235" s="549"/>
      <c r="C235" s="549"/>
      <c r="D235" s="549"/>
      <c r="E235" s="549"/>
      <c r="F235" s="549"/>
      <c r="G235" s="549"/>
    </row>
    <row r="236" spans="1:7">
      <c r="A236" s="549"/>
      <c r="B236" s="549"/>
      <c r="C236" s="549"/>
      <c r="D236" s="549"/>
      <c r="E236" s="549"/>
      <c r="F236" s="549"/>
      <c r="G236" s="549"/>
    </row>
    <row r="237" spans="1:7">
      <c r="A237" s="549"/>
      <c r="B237" s="549"/>
      <c r="C237" s="549"/>
      <c r="D237" s="549"/>
      <c r="E237" s="549"/>
      <c r="F237" s="549"/>
      <c r="G237" s="549"/>
    </row>
    <row r="238" spans="1:7">
      <c r="A238" s="549"/>
      <c r="B238" s="549"/>
      <c r="C238" s="549"/>
      <c r="D238" s="549"/>
      <c r="E238" s="549"/>
      <c r="F238" s="549"/>
      <c r="G238" s="549"/>
    </row>
    <row r="239" spans="1:7">
      <c r="A239" s="549"/>
      <c r="B239" s="549"/>
      <c r="C239" s="549"/>
      <c r="D239" s="549"/>
      <c r="E239" s="549"/>
      <c r="F239" s="549"/>
      <c r="G239" s="549"/>
    </row>
    <row r="240" spans="1:7">
      <c r="A240" s="549"/>
      <c r="B240" s="549"/>
      <c r="C240" s="549"/>
      <c r="D240" s="549"/>
      <c r="E240" s="549"/>
      <c r="F240" s="549"/>
      <c r="G240" s="549"/>
    </row>
    <row r="241" spans="1:7">
      <c r="A241" s="549"/>
      <c r="B241" s="549"/>
      <c r="C241" s="549"/>
      <c r="D241" s="549"/>
      <c r="E241" s="549"/>
      <c r="F241" s="549"/>
      <c r="G241" s="549"/>
    </row>
    <row r="242" spans="1:7">
      <c r="A242" s="549"/>
      <c r="B242" s="549"/>
      <c r="C242" s="549"/>
      <c r="D242" s="549"/>
      <c r="E242" s="549"/>
      <c r="F242" s="549"/>
      <c r="G242" s="549"/>
    </row>
    <row r="243" spans="1:7">
      <c r="A243" s="549"/>
      <c r="B243" s="549"/>
      <c r="C243" s="549"/>
      <c r="D243" s="549"/>
      <c r="E243" s="549"/>
      <c r="F243" s="549"/>
      <c r="G243" s="549"/>
    </row>
    <row r="244" spans="1:7">
      <c r="A244" s="549"/>
      <c r="B244" s="549"/>
      <c r="C244" s="549"/>
      <c r="D244" s="549"/>
      <c r="E244" s="549"/>
      <c r="F244" s="549"/>
      <c r="G244" s="549"/>
    </row>
    <row r="245" spans="1:7">
      <c r="A245" s="549"/>
      <c r="B245" s="549"/>
      <c r="C245" s="549"/>
      <c r="D245" s="549"/>
      <c r="E245" s="549"/>
      <c r="F245" s="549"/>
      <c r="G245" s="549"/>
    </row>
    <row r="246" spans="1:7">
      <c r="A246" s="549"/>
      <c r="B246" s="549"/>
      <c r="C246" s="549"/>
      <c r="D246" s="549"/>
      <c r="E246" s="549"/>
      <c r="F246" s="549"/>
      <c r="G246" s="549"/>
    </row>
    <row r="247" spans="1:7">
      <c r="A247" s="549"/>
      <c r="B247" s="549"/>
      <c r="C247" s="549"/>
      <c r="D247" s="549"/>
      <c r="E247" s="549"/>
      <c r="F247" s="549"/>
      <c r="G247" s="549"/>
    </row>
    <row r="248" spans="1:7">
      <c r="A248" s="549"/>
      <c r="B248" s="549"/>
      <c r="C248" s="549"/>
      <c r="D248" s="549"/>
      <c r="E248" s="549"/>
      <c r="F248" s="549"/>
      <c r="G248" s="549"/>
    </row>
    <row r="249" spans="1:7">
      <c r="A249" s="549"/>
      <c r="B249" s="549"/>
      <c r="C249" s="549"/>
      <c r="D249" s="549"/>
      <c r="E249" s="549"/>
      <c r="F249" s="549"/>
      <c r="G249" s="549"/>
    </row>
    <row r="250" spans="1:7">
      <c r="A250" s="549"/>
      <c r="B250" s="549"/>
      <c r="C250" s="549"/>
      <c r="D250" s="549"/>
      <c r="E250" s="549"/>
      <c r="F250" s="549"/>
      <c r="G250" s="549"/>
    </row>
    <row r="251" spans="1:7">
      <c r="A251" s="549"/>
      <c r="B251" s="549"/>
      <c r="C251" s="549"/>
      <c r="D251" s="549"/>
      <c r="E251" s="549"/>
      <c r="F251" s="549"/>
      <c r="G251" s="549"/>
    </row>
    <row r="252" spans="1:7">
      <c r="A252" s="549"/>
      <c r="B252" s="549"/>
      <c r="C252" s="549"/>
      <c r="D252" s="549"/>
      <c r="E252" s="549"/>
      <c r="F252" s="549"/>
      <c r="G252" s="549"/>
    </row>
    <row r="253" spans="1:7">
      <c r="A253" s="549"/>
      <c r="B253" s="549"/>
      <c r="C253" s="549"/>
      <c r="D253" s="549"/>
      <c r="E253" s="549"/>
      <c r="F253" s="549"/>
      <c r="G253" s="549"/>
    </row>
    <row r="254" spans="1:7">
      <c r="A254" s="549"/>
      <c r="B254" s="549"/>
      <c r="C254" s="549"/>
      <c r="D254" s="549"/>
      <c r="E254" s="549"/>
      <c r="F254" s="549"/>
      <c r="G254" s="549"/>
    </row>
    <row r="255" spans="1:7">
      <c r="A255" s="549"/>
      <c r="B255" s="549"/>
      <c r="C255" s="549"/>
      <c r="D255" s="549"/>
      <c r="E255" s="549"/>
      <c r="F255" s="549"/>
      <c r="G255" s="549"/>
    </row>
    <row r="256" spans="1:7">
      <c r="A256" s="549"/>
      <c r="B256" s="549"/>
      <c r="C256" s="549"/>
      <c r="D256" s="549"/>
      <c r="E256" s="549"/>
      <c r="F256" s="549"/>
      <c r="G256" s="549"/>
    </row>
    <row r="257" spans="1:7">
      <c r="A257" s="549"/>
      <c r="B257" s="549"/>
      <c r="C257" s="549"/>
      <c r="D257" s="549"/>
      <c r="E257" s="549"/>
      <c r="F257" s="549"/>
      <c r="G257" s="549"/>
    </row>
    <row r="258" spans="1:7">
      <c r="A258" s="549"/>
      <c r="B258" s="549"/>
      <c r="C258" s="549"/>
      <c r="D258" s="549"/>
      <c r="E258" s="549"/>
      <c r="F258" s="549"/>
      <c r="G258" s="549"/>
    </row>
    <row r="259" spans="1:7">
      <c r="A259" s="549"/>
      <c r="B259" s="549"/>
      <c r="C259" s="549"/>
      <c r="D259" s="549"/>
      <c r="E259" s="549"/>
      <c r="F259" s="549"/>
      <c r="G259" s="549"/>
    </row>
    <row r="260" spans="1:7">
      <c r="A260" s="549"/>
      <c r="B260" s="549"/>
      <c r="C260" s="549"/>
      <c r="D260" s="549"/>
      <c r="E260" s="549"/>
      <c r="F260" s="549"/>
      <c r="G260" s="549"/>
    </row>
    <row r="261" spans="1:7">
      <c r="A261" s="549"/>
      <c r="B261" s="549"/>
      <c r="C261" s="549"/>
      <c r="D261" s="549"/>
      <c r="E261" s="549"/>
      <c r="F261" s="549"/>
      <c r="G261" s="549"/>
    </row>
    <row r="262" spans="1:7">
      <c r="A262" s="549"/>
      <c r="B262" s="549"/>
      <c r="C262" s="549"/>
      <c r="D262" s="549"/>
      <c r="E262" s="549"/>
      <c r="F262" s="549"/>
      <c r="G262" s="549"/>
    </row>
    <row r="263" spans="1:7">
      <c r="A263" s="549"/>
      <c r="B263" s="549"/>
      <c r="C263" s="549"/>
      <c r="D263" s="549"/>
      <c r="E263" s="549"/>
      <c r="F263" s="549"/>
      <c r="G263" s="549"/>
    </row>
    <row r="264" spans="1:7">
      <c r="A264" s="549"/>
      <c r="B264" s="549"/>
      <c r="C264" s="549"/>
      <c r="D264" s="549"/>
      <c r="E264" s="549"/>
      <c r="F264" s="549"/>
      <c r="G264" s="549"/>
    </row>
    <row r="265" spans="1:7">
      <c r="A265" s="549"/>
      <c r="B265" s="549"/>
      <c r="C265" s="549"/>
      <c r="D265" s="549"/>
      <c r="E265" s="549"/>
      <c r="F265" s="549"/>
      <c r="G265" s="549"/>
    </row>
    <row r="266" spans="1:7">
      <c r="A266" s="549"/>
      <c r="B266" s="549"/>
      <c r="C266" s="549"/>
      <c r="D266" s="549"/>
      <c r="E266" s="549"/>
      <c r="F266" s="549"/>
      <c r="G266" s="549"/>
    </row>
    <row r="267" spans="1:7">
      <c r="A267" s="549"/>
      <c r="B267" s="549"/>
      <c r="C267" s="549"/>
      <c r="D267" s="549"/>
      <c r="E267" s="549"/>
      <c r="F267" s="549"/>
      <c r="G267" s="549"/>
    </row>
    <row r="268" spans="1:7">
      <c r="A268" s="549"/>
      <c r="B268" s="549"/>
      <c r="C268" s="549"/>
      <c r="D268" s="549"/>
      <c r="E268" s="549"/>
      <c r="F268" s="549"/>
      <c r="G268" s="549"/>
    </row>
    <row r="269" spans="1:7">
      <c r="A269" s="549"/>
      <c r="B269" s="549"/>
      <c r="C269" s="549"/>
      <c r="D269" s="549"/>
      <c r="E269" s="549"/>
      <c r="F269" s="549"/>
      <c r="G269" s="549"/>
    </row>
    <row r="270" spans="1:7">
      <c r="A270" s="549"/>
      <c r="B270" s="549"/>
      <c r="C270" s="549"/>
      <c r="D270" s="549"/>
      <c r="E270" s="549"/>
      <c r="F270" s="549"/>
      <c r="G270" s="549"/>
    </row>
    <row r="271" spans="1:7">
      <c r="A271" s="549"/>
      <c r="B271" s="549"/>
      <c r="C271" s="549"/>
      <c r="D271" s="549"/>
      <c r="E271" s="549"/>
      <c r="F271" s="549"/>
      <c r="G271" s="549"/>
    </row>
    <row r="272" spans="1:7">
      <c r="A272" s="549"/>
      <c r="B272" s="549"/>
      <c r="C272" s="549"/>
      <c r="D272" s="549"/>
      <c r="E272" s="549"/>
      <c r="F272" s="549"/>
      <c r="G272" s="549"/>
    </row>
    <row r="273" spans="1:7">
      <c r="A273" s="549"/>
      <c r="B273" s="549"/>
      <c r="C273" s="549"/>
      <c r="D273" s="549"/>
      <c r="E273" s="549"/>
      <c r="F273" s="549"/>
      <c r="G273" s="549"/>
    </row>
    <row r="274" spans="1:7">
      <c r="A274" s="549"/>
      <c r="B274" s="549"/>
      <c r="C274" s="549"/>
      <c r="D274" s="549"/>
      <c r="E274" s="549"/>
      <c r="F274" s="549"/>
      <c r="G274" s="549"/>
    </row>
    <row r="275" spans="1:7">
      <c r="A275" s="549"/>
      <c r="B275" s="549"/>
      <c r="C275" s="549"/>
      <c r="D275" s="549"/>
      <c r="E275" s="549"/>
      <c r="F275" s="549"/>
      <c r="G275" s="549"/>
    </row>
    <row r="276" spans="1:7">
      <c r="A276" s="549"/>
      <c r="B276" s="549"/>
      <c r="C276" s="549"/>
      <c r="D276" s="549"/>
      <c r="E276" s="549"/>
      <c r="F276" s="549"/>
      <c r="G276" s="549"/>
    </row>
    <row r="277" spans="1:7">
      <c r="A277" s="549"/>
      <c r="B277" s="549"/>
      <c r="C277" s="549"/>
      <c r="D277" s="549"/>
      <c r="E277" s="549"/>
      <c r="F277" s="549"/>
      <c r="G277" s="549"/>
    </row>
    <row r="278" spans="1:7">
      <c r="A278" s="549"/>
      <c r="B278" s="549"/>
      <c r="C278" s="549"/>
      <c r="D278" s="549"/>
      <c r="E278" s="549"/>
      <c r="F278" s="549"/>
      <c r="G278" s="549"/>
    </row>
    <row r="279" spans="1:7">
      <c r="A279" s="549"/>
      <c r="B279" s="549"/>
      <c r="C279" s="549"/>
      <c r="D279" s="549"/>
      <c r="E279" s="549"/>
      <c r="F279" s="549"/>
      <c r="G279" s="549"/>
    </row>
    <row r="280" spans="1:7">
      <c r="A280" s="549"/>
      <c r="B280" s="549"/>
      <c r="C280" s="549"/>
      <c r="D280" s="549"/>
      <c r="E280" s="549"/>
      <c r="F280" s="549"/>
      <c r="G280" s="549"/>
    </row>
    <row r="281" spans="1:7">
      <c r="A281" s="549"/>
      <c r="B281" s="549"/>
      <c r="C281" s="549"/>
      <c r="D281" s="549"/>
      <c r="E281" s="549"/>
      <c r="F281" s="549"/>
      <c r="G281" s="549"/>
    </row>
    <row r="282" spans="1:7">
      <c r="A282" s="549"/>
      <c r="B282" s="549"/>
      <c r="C282" s="549"/>
      <c r="D282" s="549"/>
      <c r="E282" s="549"/>
      <c r="F282" s="549"/>
      <c r="G282" s="549"/>
    </row>
    <row r="283" spans="1:7">
      <c r="A283" s="549"/>
      <c r="B283" s="549"/>
      <c r="C283" s="549"/>
      <c r="D283" s="549"/>
      <c r="E283" s="549"/>
      <c r="F283" s="549"/>
      <c r="G283" s="549"/>
    </row>
    <row r="284" spans="1:7">
      <c r="A284" s="549"/>
      <c r="B284" s="549"/>
      <c r="C284" s="549"/>
      <c r="D284" s="549"/>
      <c r="E284" s="549"/>
      <c r="F284" s="549"/>
      <c r="G284" s="549"/>
    </row>
    <row r="285" spans="1:7">
      <c r="A285" s="549"/>
      <c r="B285" s="549"/>
      <c r="C285" s="549"/>
      <c r="D285" s="549"/>
      <c r="E285" s="549"/>
      <c r="F285" s="549"/>
      <c r="G285" s="549"/>
    </row>
    <row r="286" spans="1:7">
      <c r="A286" s="549"/>
      <c r="B286" s="549"/>
      <c r="C286" s="549"/>
      <c r="D286" s="549"/>
      <c r="E286" s="549"/>
      <c r="F286" s="549"/>
      <c r="G286" s="549"/>
    </row>
    <row r="287" spans="1:7">
      <c r="A287" s="549"/>
      <c r="B287" s="549"/>
      <c r="C287" s="549"/>
      <c r="D287" s="549"/>
      <c r="E287" s="549"/>
      <c r="F287" s="549"/>
      <c r="G287" s="549"/>
    </row>
    <row r="288" spans="1:7">
      <c r="A288" s="549"/>
      <c r="B288" s="549"/>
      <c r="C288" s="549"/>
      <c r="D288" s="549"/>
      <c r="E288" s="549"/>
      <c r="F288" s="549"/>
      <c r="G288" s="549"/>
    </row>
    <row r="289" spans="1:7">
      <c r="A289" s="549"/>
      <c r="B289" s="549"/>
      <c r="C289" s="549"/>
      <c r="D289" s="549"/>
      <c r="E289" s="549"/>
      <c r="F289" s="549"/>
      <c r="G289" s="549"/>
    </row>
    <row r="290" spans="1:7">
      <c r="A290" s="549"/>
      <c r="B290" s="549"/>
      <c r="C290" s="549"/>
      <c r="D290" s="549"/>
      <c r="E290" s="549"/>
      <c r="F290" s="549"/>
      <c r="G290" s="549"/>
    </row>
    <row r="291" spans="1:7">
      <c r="A291" s="549"/>
      <c r="B291" s="549"/>
      <c r="C291" s="549"/>
      <c r="D291" s="549"/>
      <c r="E291" s="549"/>
      <c r="F291" s="549"/>
      <c r="G291" s="549"/>
    </row>
    <row r="292" spans="1:7">
      <c r="A292" s="549"/>
      <c r="B292" s="549"/>
      <c r="C292" s="549"/>
      <c r="D292" s="549"/>
      <c r="E292" s="549"/>
      <c r="F292" s="549"/>
      <c r="G292" s="549"/>
    </row>
    <row r="293" spans="1:7">
      <c r="A293" s="549"/>
      <c r="B293" s="549"/>
      <c r="C293" s="549"/>
      <c r="D293" s="549"/>
      <c r="E293" s="549"/>
      <c r="F293" s="549"/>
      <c r="G293" s="549"/>
    </row>
    <row r="294" spans="1:7">
      <c r="A294" s="549"/>
      <c r="B294" s="549"/>
      <c r="C294" s="549"/>
      <c r="D294" s="549"/>
      <c r="E294" s="549"/>
      <c r="F294" s="549"/>
      <c r="G294" s="549"/>
    </row>
    <row r="295" spans="1:7">
      <c r="A295" s="549"/>
      <c r="B295" s="549"/>
      <c r="C295" s="549"/>
      <c r="D295" s="549"/>
      <c r="E295" s="549"/>
      <c r="F295" s="549"/>
      <c r="G295" s="549"/>
    </row>
    <row r="296" spans="1:7">
      <c r="A296" s="549"/>
      <c r="B296" s="549"/>
      <c r="C296" s="549"/>
      <c r="D296" s="549"/>
      <c r="E296" s="549"/>
      <c r="F296" s="549"/>
      <c r="G296" s="549"/>
    </row>
    <row r="297" spans="1:7">
      <c r="A297" s="549"/>
      <c r="B297" s="549"/>
      <c r="C297" s="549"/>
      <c r="D297" s="549"/>
      <c r="E297" s="549"/>
      <c r="F297" s="549"/>
      <c r="G297" s="549"/>
    </row>
    <row r="298" spans="1:7">
      <c r="A298" s="549"/>
      <c r="B298" s="549"/>
      <c r="C298" s="549"/>
      <c r="D298" s="549"/>
      <c r="E298" s="549"/>
      <c r="F298" s="549"/>
      <c r="G298" s="549"/>
    </row>
    <row r="299" spans="1:7">
      <c r="A299" s="549"/>
      <c r="B299" s="549"/>
      <c r="C299" s="549"/>
      <c r="D299" s="549"/>
      <c r="E299" s="549"/>
      <c r="F299" s="549"/>
      <c r="G299" s="549"/>
    </row>
    <row r="300" spans="1:7">
      <c r="A300" s="549"/>
      <c r="B300" s="549"/>
      <c r="C300" s="549"/>
      <c r="D300" s="549"/>
      <c r="E300" s="549"/>
      <c r="F300" s="549"/>
      <c r="G300" s="549"/>
    </row>
    <row r="301" spans="1:7">
      <c r="A301" s="549"/>
      <c r="B301" s="549"/>
      <c r="C301" s="549"/>
      <c r="D301" s="549"/>
      <c r="E301" s="549"/>
      <c r="F301" s="549"/>
      <c r="G301" s="549"/>
    </row>
    <row r="302" spans="1:7">
      <c r="A302" s="549"/>
      <c r="B302" s="549"/>
      <c r="C302" s="549"/>
      <c r="D302" s="549"/>
      <c r="E302" s="549"/>
      <c r="F302" s="549"/>
      <c r="G302" s="549"/>
    </row>
    <row r="303" spans="1:7">
      <c r="A303" s="549"/>
      <c r="B303" s="549"/>
      <c r="C303" s="549"/>
      <c r="D303" s="549"/>
      <c r="E303" s="549"/>
      <c r="F303" s="549"/>
      <c r="G303" s="549"/>
    </row>
    <row r="304" spans="1:7">
      <c r="A304" s="549"/>
      <c r="B304" s="549"/>
      <c r="C304" s="549"/>
      <c r="D304" s="549"/>
      <c r="E304" s="549"/>
      <c r="F304" s="549"/>
      <c r="G304" s="549"/>
    </row>
    <row r="305" spans="1:7">
      <c r="A305" s="549"/>
      <c r="B305" s="549"/>
      <c r="C305" s="549"/>
      <c r="D305" s="549"/>
      <c r="E305" s="549"/>
      <c r="F305" s="549"/>
      <c r="G305" s="549"/>
    </row>
    <row r="306" spans="1:7">
      <c r="A306" s="549"/>
      <c r="B306" s="549"/>
      <c r="C306" s="549"/>
      <c r="D306" s="549"/>
      <c r="E306" s="549"/>
      <c r="F306" s="549"/>
      <c r="G306" s="549"/>
    </row>
    <row r="307" spans="1:7">
      <c r="A307" s="549"/>
      <c r="B307" s="549"/>
      <c r="C307" s="549"/>
      <c r="D307" s="549"/>
      <c r="E307" s="549"/>
      <c r="F307" s="549"/>
      <c r="G307" s="549"/>
    </row>
    <row r="308" spans="1:7">
      <c r="A308" s="549"/>
      <c r="B308" s="549"/>
      <c r="C308" s="549"/>
      <c r="D308" s="549"/>
      <c r="E308" s="549"/>
      <c r="F308" s="549"/>
      <c r="G308" s="549"/>
    </row>
    <row r="309" spans="1:7">
      <c r="A309" s="549"/>
      <c r="B309" s="549"/>
      <c r="C309" s="549"/>
      <c r="D309" s="549"/>
      <c r="E309" s="549"/>
      <c r="F309" s="549"/>
      <c r="G309" s="549"/>
    </row>
    <row r="310" spans="1:7">
      <c r="A310" s="549"/>
      <c r="B310" s="549"/>
      <c r="C310" s="549"/>
      <c r="D310" s="549"/>
      <c r="E310" s="549"/>
      <c r="F310" s="549"/>
      <c r="G310" s="549"/>
    </row>
    <row r="311" spans="1:7">
      <c r="A311" s="549"/>
      <c r="B311" s="549"/>
      <c r="C311" s="549"/>
      <c r="D311" s="549"/>
      <c r="E311" s="549"/>
      <c r="F311" s="549"/>
      <c r="G311" s="549"/>
    </row>
    <row r="312" spans="1:7">
      <c r="A312" s="549"/>
      <c r="B312" s="549"/>
      <c r="C312" s="549"/>
      <c r="D312" s="549"/>
      <c r="E312" s="549"/>
      <c r="F312" s="549"/>
      <c r="G312" s="549"/>
    </row>
    <row r="313" spans="1:7">
      <c r="A313" s="549"/>
      <c r="B313" s="549"/>
      <c r="C313" s="549"/>
      <c r="D313" s="549"/>
      <c r="E313" s="549"/>
      <c r="F313" s="549"/>
      <c r="G313" s="549"/>
    </row>
    <row r="314" spans="1:7">
      <c r="A314" s="549"/>
      <c r="B314" s="549"/>
      <c r="C314" s="549"/>
      <c r="D314" s="549"/>
      <c r="E314" s="549"/>
      <c r="F314" s="549"/>
      <c r="G314" s="549"/>
    </row>
    <row r="315" spans="1:7">
      <c r="A315" s="549"/>
      <c r="B315" s="549"/>
      <c r="C315" s="549"/>
      <c r="D315" s="549"/>
      <c r="E315" s="549"/>
      <c r="F315" s="549"/>
      <c r="G315" s="549"/>
    </row>
    <row r="316" spans="1:7">
      <c r="A316" s="549"/>
      <c r="B316" s="549"/>
      <c r="C316" s="549"/>
      <c r="D316" s="549"/>
      <c r="E316" s="549"/>
      <c r="F316" s="549"/>
      <c r="G316" s="549"/>
    </row>
    <row r="317" spans="1:7">
      <c r="A317" s="549"/>
      <c r="B317" s="549"/>
      <c r="C317" s="549"/>
      <c r="D317" s="549"/>
      <c r="E317" s="549"/>
      <c r="F317" s="549"/>
      <c r="G317" s="549"/>
    </row>
    <row r="318" spans="1:7">
      <c r="A318" s="549"/>
      <c r="B318" s="549"/>
      <c r="C318" s="549"/>
      <c r="D318" s="549"/>
      <c r="E318" s="549"/>
      <c r="F318" s="549"/>
      <c r="G318" s="549"/>
    </row>
    <row r="319" spans="1:7">
      <c r="A319" s="549"/>
      <c r="B319" s="549"/>
      <c r="C319" s="549"/>
      <c r="D319" s="549"/>
      <c r="E319" s="549"/>
      <c r="F319" s="549"/>
      <c r="G319" s="549"/>
    </row>
    <row r="320" spans="1:7">
      <c r="A320" s="549"/>
      <c r="B320" s="549"/>
      <c r="C320" s="549"/>
      <c r="D320" s="549"/>
      <c r="E320" s="549"/>
      <c r="F320" s="549"/>
      <c r="G320" s="549"/>
    </row>
    <row r="321" spans="1:7">
      <c r="A321" s="549"/>
      <c r="B321" s="549"/>
      <c r="C321" s="549"/>
      <c r="D321" s="549"/>
      <c r="E321" s="549"/>
      <c r="F321" s="549"/>
      <c r="G321" s="549"/>
    </row>
    <row r="322" spans="1:7">
      <c r="A322" s="549"/>
      <c r="B322" s="549"/>
      <c r="C322" s="549"/>
      <c r="D322" s="549"/>
      <c r="E322" s="549"/>
      <c r="F322" s="549"/>
      <c r="G322" s="549"/>
    </row>
    <row r="323" spans="1:7">
      <c r="A323" s="549"/>
      <c r="B323" s="549"/>
      <c r="C323" s="549"/>
      <c r="D323" s="549"/>
      <c r="E323" s="549"/>
      <c r="F323" s="549"/>
      <c r="G323" s="549"/>
    </row>
    <row r="324" spans="1:7">
      <c r="A324" s="549"/>
      <c r="B324" s="549"/>
      <c r="C324" s="549"/>
      <c r="D324" s="549"/>
      <c r="E324" s="549"/>
      <c r="F324" s="549"/>
      <c r="G324" s="549"/>
    </row>
    <row r="325" spans="1:7">
      <c r="A325" s="549"/>
      <c r="B325" s="549"/>
      <c r="C325" s="549"/>
      <c r="D325" s="549"/>
      <c r="E325" s="549"/>
      <c r="F325" s="549"/>
      <c r="G325" s="549"/>
    </row>
    <row r="326" spans="1:7">
      <c r="A326" s="549"/>
      <c r="B326" s="549"/>
      <c r="C326" s="549"/>
      <c r="D326" s="549"/>
      <c r="E326" s="549"/>
      <c r="F326" s="549"/>
      <c r="G326" s="549"/>
    </row>
    <row r="327" spans="1:7">
      <c r="A327" s="549"/>
      <c r="B327" s="549"/>
      <c r="C327" s="549"/>
      <c r="D327" s="549"/>
      <c r="E327" s="549"/>
      <c r="F327" s="549"/>
      <c r="G327" s="549"/>
    </row>
    <row r="328" spans="1:7">
      <c r="A328" s="549"/>
      <c r="B328" s="549"/>
      <c r="C328" s="549"/>
      <c r="D328" s="549"/>
      <c r="E328" s="549"/>
      <c r="F328" s="549"/>
      <c r="G328" s="549"/>
    </row>
    <row r="329" spans="1:7">
      <c r="A329" s="549"/>
      <c r="B329" s="549"/>
      <c r="C329" s="549"/>
      <c r="D329" s="549"/>
      <c r="E329" s="549"/>
      <c r="F329" s="549"/>
      <c r="G329" s="549"/>
    </row>
    <row r="330" spans="1:7">
      <c r="A330" s="549"/>
      <c r="B330" s="549"/>
      <c r="C330" s="549"/>
      <c r="D330" s="549"/>
      <c r="E330" s="549"/>
      <c r="F330" s="549"/>
      <c r="G330" s="549"/>
    </row>
    <row r="331" spans="1:7">
      <c r="A331" s="549"/>
      <c r="B331" s="549"/>
      <c r="C331" s="549"/>
      <c r="D331" s="549"/>
      <c r="E331" s="549"/>
      <c r="F331" s="549"/>
      <c r="G331" s="549"/>
    </row>
    <row r="332" spans="1:7">
      <c r="A332" s="549"/>
      <c r="B332" s="549"/>
      <c r="C332" s="549"/>
      <c r="D332" s="549"/>
      <c r="E332" s="549"/>
      <c r="F332" s="549"/>
      <c r="G332" s="549"/>
    </row>
    <row r="333" spans="1:7">
      <c r="A333" s="549"/>
      <c r="B333" s="549"/>
      <c r="C333" s="549"/>
      <c r="D333" s="549"/>
      <c r="E333" s="549"/>
      <c r="F333" s="549"/>
      <c r="G333" s="549"/>
    </row>
    <row r="334" spans="1:7">
      <c r="A334" s="549"/>
      <c r="B334" s="549"/>
      <c r="C334" s="549"/>
      <c r="D334" s="549"/>
      <c r="E334" s="549"/>
      <c r="F334" s="549"/>
      <c r="G334" s="549"/>
    </row>
    <row r="335" spans="1:7">
      <c r="A335" s="549"/>
      <c r="B335" s="549"/>
      <c r="C335" s="549"/>
      <c r="D335" s="549"/>
      <c r="E335" s="549"/>
      <c r="F335" s="549"/>
      <c r="G335" s="549"/>
    </row>
    <row r="336" spans="1:7">
      <c r="A336" s="549"/>
      <c r="B336" s="549"/>
      <c r="C336" s="549"/>
      <c r="D336" s="549"/>
      <c r="E336" s="549"/>
      <c r="F336" s="549"/>
      <c r="G336" s="549"/>
    </row>
    <row r="337" spans="1:7">
      <c r="A337" s="549"/>
      <c r="B337" s="549"/>
      <c r="C337" s="549"/>
      <c r="D337" s="549"/>
      <c r="E337" s="549"/>
      <c r="F337" s="549"/>
      <c r="G337" s="549"/>
    </row>
    <row r="338" spans="1:7">
      <c r="A338" s="549"/>
      <c r="B338" s="549"/>
      <c r="C338" s="549"/>
      <c r="D338" s="549"/>
      <c r="E338" s="549"/>
      <c r="F338" s="549"/>
      <c r="G338" s="549"/>
    </row>
    <row r="339" spans="1:7">
      <c r="A339" s="549"/>
      <c r="B339" s="549"/>
      <c r="C339" s="549"/>
      <c r="D339" s="549"/>
      <c r="E339" s="549"/>
      <c r="F339" s="549"/>
      <c r="G339" s="549"/>
    </row>
    <row r="340" spans="1:7">
      <c r="A340" s="549"/>
      <c r="B340" s="549"/>
      <c r="C340" s="549"/>
      <c r="D340" s="549"/>
      <c r="E340" s="549"/>
      <c r="F340" s="549"/>
      <c r="G340" s="549"/>
    </row>
    <row r="341" spans="1:7">
      <c r="A341" s="549"/>
      <c r="B341" s="549"/>
      <c r="C341" s="549"/>
      <c r="D341" s="549"/>
      <c r="E341" s="549"/>
      <c r="F341" s="549"/>
      <c r="G341" s="549"/>
    </row>
    <row r="342" spans="1:7">
      <c r="A342" s="549"/>
      <c r="B342" s="549"/>
      <c r="C342" s="549"/>
      <c r="D342" s="549"/>
      <c r="E342" s="549"/>
      <c r="F342" s="549"/>
      <c r="G342" s="549"/>
    </row>
    <row r="343" spans="1:7">
      <c r="A343" s="549"/>
      <c r="B343" s="549"/>
      <c r="C343" s="549"/>
      <c r="D343" s="549"/>
      <c r="E343" s="549"/>
      <c r="F343" s="549"/>
      <c r="G343" s="549"/>
    </row>
    <row r="344" spans="1:7">
      <c r="A344" s="549"/>
      <c r="B344" s="549"/>
      <c r="C344" s="549"/>
      <c r="D344" s="549"/>
      <c r="E344" s="549"/>
      <c r="F344" s="549"/>
      <c r="G344" s="549"/>
    </row>
    <row r="345" spans="1:7">
      <c r="A345" s="549"/>
      <c r="B345" s="549"/>
      <c r="C345" s="549"/>
      <c r="D345" s="549"/>
      <c r="E345" s="549"/>
      <c r="F345" s="549"/>
      <c r="G345" s="549"/>
    </row>
    <row r="346" spans="1:7">
      <c r="A346" s="549"/>
      <c r="B346" s="549"/>
      <c r="C346" s="549"/>
      <c r="D346" s="549"/>
      <c r="E346" s="549"/>
      <c r="F346" s="549"/>
      <c r="G346" s="549"/>
    </row>
    <row r="347" spans="1:7">
      <c r="A347" s="549"/>
      <c r="B347" s="549"/>
      <c r="C347" s="549"/>
      <c r="D347" s="549"/>
      <c r="E347" s="549"/>
      <c r="F347" s="549"/>
      <c r="G347" s="549"/>
    </row>
    <row r="348" spans="1:7">
      <c r="A348" s="549"/>
      <c r="B348" s="549"/>
      <c r="C348" s="549"/>
      <c r="D348" s="549"/>
      <c r="E348" s="549"/>
      <c r="F348" s="549"/>
      <c r="G348" s="549"/>
    </row>
    <row r="349" spans="1:7">
      <c r="A349" s="549"/>
      <c r="B349" s="549"/>
      <c r="C349" s="549"/>
      <c r="D349" s="549"/>
      <c r="E349" s="549"/>
      <c r="F349" s="549"/>
      <c r="G349" s="549"/>
    </row>
    <row r="350" spans="1:7">
      <c r="A350" s="549"/>
      <c r="B350" s="549"/>
      <c r="C350" s="549"/>
      <c r="D350" s="549"/>
      <c r="E350" s="549"/>
      <c r="F350" s="549"/>
      <c r="G350" s="549"/>
    </row>
    <row r="351" spans="1:7">
      <c r="A351" s="549"/>
      <c r="B351" s="549"/>
      <c r="C351" s="549"/>
      <c r="D351" s="549"/>
      <c r="E351" s="549"/>
      <c r="F351" s="549"/>
      <c r="G351" s="549"/>
    </row>
    <row r="352" spans="1:7">
      <c r="A352" s="549"/>
      <c r="B352" s="549"/>
      <c r="C352" s="549"/>
      <c r="D352" s="549"/>
      <c r="E352" s="549"/>
      <c r="F352" s="549"/>
      <c r="G352" s="549"/>
    </row>
    <row r="353" spans="1:7">
      <c r="A353" s="549"/>
      <c r="B353" s="549"/>
      <c r="C353" s="549"/>
      <c r="D353" s="549"/>
      <c r="E353" s="549"/>
      <c r="F353" s="549"/>
      <c r="G353" s="549"/>
    </row>
    <row r="354" spans="1:7">
      <c r="A354" s="549"/>
      <c r="B354" s="549"/>
      <c r="C354" s="549"/>
      <c r="D354" s="549"/>
      <c r="E354" s="549"/>
      <c r="F354" s="549"/>
      <c r="G354" s="549"/>
    </row>
    <row r="355" spans="1:7">
      <c r="A355" s="549"/>
      <c r="B355" s="549"/>
      <c r="C355" s="549"/>
      <c r="D355" s="549"/>
      <c r="E355" s="549"/>
      <c r="F355" s="549"/>
      <c r="G355" s="549"/>
    </row>
    <row r="356" spans="1:7">
      <c r="A356" s="549"/>
      <c r="B356" s="549"/>
      <c r="C356" s="549"/>
      <c r="D356" s="549"/>
      <c r="E356" s="549"/>
      <c r="F356" s="549"/>
      <c r="G356" s="549"/>
    </row>
    <row r="357" spans="1:7">
      <c r="A357" s="549"/>
      <c r="B357" s="549"/>
      <c r="C357" s="549"/>
      <c r="D357" s="549"/>
      <c r="E357" s="549"/>
      <c r="F357" s="549"/>
      <c r="G357" s="549"/>
    </row>
    <row r="358" spans="1:7">
      <c r="A358" s="549"/>
      <c r="B358" s="549"/>
      <c r="C358" s="549"/>
      <c r="D358" s="549"/>
      <c r="E358" s="549"/>
      <c r="F358" s="549"/>
      <c r="G358" s="549"/>
    </row>
    <row r="359" spans="1:7">
      <c r="A359" s="549"/>
      <c r="B359" s="549"/>
      <c r="C359" s="549"/>
      <c r="D359" s="549"/>
      <c r="E359" s="549"/>
      <c r="F359" s="549"/>
      <c r="G359" s="549"/>
    </row>
    <row r="360" spans="1:7">
      <c r="A360" s="549"/>
      <c r="B360" s="549"/>
      <c r="C360" s="549"/>
      <c r="D360" s="549"/>
      <c r="E360" s="549"/>
      <c r="F360" s="549"/>
      <c r="G360" s="549"/>
    </row>
    <row r="361" spans="1:7">
      <c r="A361" s="549"/>
      <c r="B361" s="549"/>
      <c r="C361" s="549"/>
      <c r="D361" s="549"/>
      <c r="E361" s="549"/>
      <c r="F361" s="549"/>
      <c r="G361" s="549"/>
    </row>
    <row r="362" spans="1:7">
      <c r="A362" s="549"/>
      <c r="B362" s="549"/>
      <c r="C362" s="549"/>
      <c r="D362" s="549"/>
      <c r="E362" s="549"/>
      <c r="F362" s="549"/>
      <c r="G362" s="549"/>
    </row>
    <row r="363" spans="1:7">
      <c r="A363" s="549"/>
      <c r="B363" s="549"/>
      <c r="C363" s="549"/>
      <c r="D363" s="549"/>
      <c r="E363" s="549"/>
      <c r="F363" s="549"/>
      <c r="G363" s="549"/>
    </row>
    <row r="364" spans="1:7">
      <c r="A364" s="549"/>
      <c r="B364" s="549"/>
      <c r="C364" s="549"/>
      <c r="D364" s="549"/>
      <c r="E364" s="549"/>
      <c r="F364" s="549"/>
      <c r="G364" s="549"/>
    </row>
    <row r="365" spans="1:7">
      <c r="A365" s="549"/>
      <c r="B365" s="549"/>
      <c r="C365" s="549"/>
      <c r="D365" s="549"/>
      <c r="E365" s="549"/>
      <c r="F365" s="549"/>
      <c r="G365" s="549"/>
    </row>
    <row r="366" spans="1:7">
      <c r="A366" s="549"/>
      <c r="B366" s="549"/>
      <c r="C366" s="549"/>
      <c r="D366" s="549"/>
      <c r="E366" s="549"/>
      <c r="F366" s="549"/>
      <c r="G366" s="549"/>
    </row>
    <row r="367" spans="1:7">
      <c r="A367" s="549"/>
      <c r="B367" s="549"/>
      <c r="C367" s="549"/>
      <c r="D367" s="549"/>
      <c r="E367" s="549"/>
      <c r="F367" s="549"/>
      <c r="G367" s="549"/>
    </row>
    <row r="368" spans="1:7">
      <c r="A368" s="549"/>
      <c r="B368" s="549"/>
      <c r="C368" s="549"/>
      <c r="D368" s="549"/>
      <c r="E368" s="549"/>
      <c r="F368" s="549"/>
      <c r="G368" s="549"/>
    </row>
    <row r="369" spans="1:7">
      <c r="A369" s="549"/>
      <c r="B369" s="549"/>
      <c r="C369" s="549"/>
      <c r="D369" s="549"/>
      <c r="E369" s="549"/>
      <c r="F369" s="549"/>
      <c r="G369" s="549"/>
    </row>
    <row r="370" spans="1:7">
      <c r="A370" s="549"/>
      <c r="B370" s="549"/>
      <c r="C370" s="549"/>
      <c r="D370" s="549"/>
      <c r="E370" s="549"/>
      <c r="F370" s="549"/>
      <c r="G370" s="549"/>
    </row>
    <row r="371" spans="1:7">
      <c r="A371" s="549"/>
      <c r="B371" s="549"/>
      <c r="C371" s="549"/>
      <c r="D371" s="549"/>
      <c r="E371" s="549"/>
      <c r="F371" s="549"/>
      <c r="G371" s="549"/>
    </row>
    <row r="372" spans="1:7">
      <c r="A372" s="549"/>
      <c r="B372" s="549"/>
      <c r="C372" s="549"/>
      <c r="D372" s="549"/>
      <c r="E372" s="549"/>
      <c r="F372" s="549"/>
      <c r="G372" s="549"/>
    </row>
    <row r="373" spans="1:7">
      <c r="A373" s="549"/>
      <c r="B373" s="549"/>
      <c r="C373" s="549"/>
      <c r="D373" s="549"/>
      <c r="E373" s="549"/>
      <c r="F373" s="549"/>
      <c r="G373" s="549"/>
    </row>
    <row r="374" spans="1:7">
      <c r="A374" s="549"/>
      <c r="B374" s="549"/>
      <c r="C374" s="549"/>
      <c r="D374" s="549"/>
      <c r="E374" s="549"/>
      <c r="F374" s="549"/>
      <c r="G374" s="549"/>
    </row>
    <row r="375" spans="1:7">
      <c r="A375" s="549"/>
      <c r="B375" s="549"/>
      <c r="C375" s="549"/>
      <c r="D375" s="549"/>
      <c r="E375" s="549"/>
      <c r="F375" s="549"/>
      <c r="G375" s="549"/>
    </row>
    <row r="376" spans="1:7">
      <c r="A376" s="549"/>
      <c r="B376" s="549"/>
      <c r="C376" s="549"/>
      <c r="D376" s="549"/>
      <c r="E376" s="549"/>
      <c r="F376" s="549"/>
      <c r="G376" s="549"/>
    </row>
    <row r="377" spans="1:7">
      <c r="A377" s="549"/>
      <c r="B377" s="549"/>
      <c r="C377" s="549"/>
      <c r="D377" s="549"/>
      <c r="E377" s="549"/>
      <c r="F377" s="549"/>
      <c r="G377" s="549"/>
    </row>
    <row r="378" spans="1:7">
      <c r="A378" s="549"/>
      <c r="B378" s="549"/>
      <c r="C378" s="549"/>
      <c r="D378" s="549"/>
      <c r="E378" s="549"/>
      <c r="F378" s="549"/>
      <c r="G378" s="549"/>
    </row>
    <row r="379" spans="1:7">
      <c r="A379" s="549"/>
      <c r="B379" s="549"/>
      <c r="C379" s="549"/>
      <c r="D379" s="549"/>
      <c r="E379" s="549"/>
      <c r="F379" s="549"/>
      <c r="G379" s="549"/>
    </row>
    <row r="380" spans="1:7">
      <c r="A380" s="549"/>
      <c r="B380" s="549"/>
      <c r="C380" s="549"/>
      <c r="D380" s="549"/>
      <c r="E380" s="549"/>
      <c r="F380" s="549"/>
      <c r="G380" s="549"/>
    </row>
    <row r="381" spans="1:7">
      <c r="A381" s="549"/>
      <c r="B381" s="549"/>
      <c r="C381" s="549"/>
      <c r="D381" s="549"/>
      <c r="E381" s="549"/>
      <c r="F381" s="549"/>
      <c r="G381" s="549"/>
    </row>
    <row r="382" spans="1:7">
      <c r="A382" s="549"/>
      <c r="B382" s="549"/>
      <c r="C382" s="549"/>
      <c r="D382" s="549"/>
      <c r="E382" s="549"/>
      <c r="F382" s="549"/>
      <c r="G382" s="549"/>
    </row>
    <row r="383" spans="1:7">
      <c r="A383" s="549"/>
      <c r="B383" s="549"/>
      <c r="C383" s="549"/>
      <c r="D383" s="549"/>
      <c r="E383" s="549"/>
      <c r="F383" s="549"/>
      <c r="G383" s="549"/>
    </row>
    <row r="384" spans="1:7">
      <c r="A384" s="549"/>
      <c r="B384" s="549"/>
      <c r="C384" s="549"/>
      <c r="D384" s="549"/>
      <c r="E384" s="549"/>
      <c r="F384" s="549"/>
      <c r="G384" s="549"/>
    </row>
    <row r="385" spans="1:7">
      <c r="A385" s="549"/>
      <c r="B385" s="549"/>
      <c r="C385" s="549"/>
      <c r="D385" s="549"/>
      <c r="E385" s="549"/>
      <c r="F385" s="549"/>
      <c r="G385" s="549"/>
    </row>
    <row r="386" spans="1:7">
      <c r="A386" s="549"/>
      <c r="B386" s="549"/>
      <c r="C386" s="549"/>
      <c r="D386" s="549"/>
      <c r="E386" s="549"/>
      <c r="F386" s="549"/>
      <c r="G386" s="549"/>
    </row>
    <row r="387" spans="1:7">
      <c r="A387" s="549"/>
      <c r="B387" s="549"/>
      <c r="C387" s="549"/>
      <c r="D387" s="549"/>
      <c r="E387" s="549"/>
      <c r="F387" s="549"/>
      <c r="G387" s="549"/>
    </row>
    <row r="388" spans="1:7">
      <c r="A388" s="549"/>
      <c r="B388" s="549"/>
      <c r="C388" s="549"/>
      <c r="D388" s="549"/>
      <c r="E388" s="549"/>
      <c r="F388" s="549"/>
      <c r="G388" s="549"/>
    </row>
    <row r="389" spans="1:7">
      <c r="A389" s="549"/>
      <c r="B389" s="549"/>
      <c r="C389" s="549"/>
      <c r="D389" s="549"/>
      <c r="E389" s="549"/>
      <c r="F389" s="549"/>
      <c r="G389" s="549"/>
    </row>
    <row r="390" spans="1:7">
      <c r="A390" s="549"/>
      <c r="B390" s="549"/>
      <c r="C390" s="549"/>
      <c r="D390" s="549"/>
      <c r="E390" s="549"/>
      <c r="F390" s="549"/>
      <c r="G390" s="549"/>
    </row>
    <row r="391" spans="1:7">
      <c r="A391" s="549"/>
      <c r="B391" s="549"/>
      <c r="C391" s="549"/>
      <c r="D391" s="549"/>
      <c r="E391" s="549"/>
      <c r="F391" s="549"/>
      <c r="G391" s="549"/>
    </row>
    <row r="392" spans="1:7">
      <c r="A392" s="549"/>
      <c r="B392" s="549"/>
      <c r="C392" s="549"/>
      <c r="D392" s="549"/>
      <c r="E392" s="549"/>
      <c r="F392" s="549"/>
      <c r="G392" s="549"/>
    </row>
    <row r="393" spans="1:7">
      <c r="A393" s="549"/>
      <c r="B393" s="549"/>
      <c r="C393" s="549"/>
      <c r="D393" s="549"/>
      <c r="E393" s="549"/>
      <c r="F393" s="549"/>
      <c r="G393" s="549"/>
    </row>
    <row r="394" spans="1:7">
      <c r="A394" s="549"/>
      <c r="B394" s="549"/>
      <c r="C394" s="549"/>
      <c r="D394" s="549"/>
      <c r="E394" s="549"/>
      <c r="F394" s="549"/>
      <c r="G394" s="549"/>
    </row>
    <row r="395" spans="1:7">
      <c r="A395" s="549"/>
      <c r="B395" s="549"/>
      <c r="C395" s="549"/>
      <c r="D395" s="549"/>
      <c r="E395" s="549"/>
      <c r="F395" s="549"/>
      <c r="G395" s="549"/>
    </row>
    <row r="396" spans="1:7">
      <c r="A396" s="549"/>
      <c r="B396" s="549"/>
      <c r="C396" s="549"/>
      <c r="D396" s="549"/>
      <c r="E396" s="549"/>
      <c r="F396" s="549"/>
      <c r="G396" s="549"/>
    </row>
    <row r="397" spans="1:7">
      <c r="A397" s="549"/>
      <c r="B397" s="549"/>
      <c r="C397" s="549"/>
      <c r="D397" s="549"/>
      <c r="E397" s="549"/>
      <c r="F397" s="549"/>
      <c r="G397" s="549"/>
    </row>
    <row r="398" spans="1:7">
      <c r="A398" s="549"/>
      <c r="B398" s="549"/>
      <c r="C398" s="549"/>
      <c r="D398" s="549"/>
      <c r="E398" s="549"/>
      <c r="F398" s="549"/>
      <c r="G398" s="549"/>
    </row>
    <row r="399" spans="1:7">
      <c r="A399" s="549"/>
      <c r="B399" s="549"/>
      <c r="C399" s="549"/>
      <c r="D399" s="549"/>
      <c r="E399" s="549"/>
      <c r="F399" s="549"/>
      <c r="G399" s="549"/>
    </row>
    <row r="400" spans="1:7">
      <c r="A400" s="549"/>
      <c r="B400" s="549"/>
      <c r="C400" s="549"/>
      <c r="D400" s="549"/>
      <c r="E400" s="549"/>
      <c r="F400" s="549"/>
      <c r="G400" s="549"/>
    </row>
    <row r="401" spans="1:7">
      <c r="A401" s="549"/>
      <c r="B401" s="549"/>
      <c r="C401" s="549"/>
      <c r="D401" s="549"/>
      <c r="E401" s="549"/>
      <c r="F401" s="549"/>
      <c r="G401" s="549"/>
    </row>
    <row r="402" spans="1:7">
      <c r="A402" s="549"/>
      <c r="B402" s="549"/>
      <c r="C402" s="549"/>
      <c r="D402" s="549"/>
      <c r="E402" s="549"/>
      <c r="F402" s="549"/>
      <c r="G402" s="549"/>
    </row>
    <row r="403" spans="1:7">
      <c r="A403" s="549"/>
      <c r="B403" s="549"/>
      <c r="C403" s="549"/>
      <c r="D403" s="549"/>
      <c r="E403" s="549"/>
      <c r="F403" s="549"/>
      <c r="G403" s="549"/>
    </row>
    <row r="404" spans="1:7">
      <c r="A404" s="549"/>
      <c r="B404" s="549"/>
      <c r="C404" s="549"/>
      <c r="D404" s="549"/>
      <c r="E404" s="549"/>
      <c r="F404" s="549"/>
      <c r="G404" s="549"/>
    </row>
    <row r="405" spans="1:7">
      <c r="A405" s="549"/>
      <c r="B405" s="549"/>
      <c r="C405" s="549"/>
      <c r="D405" s="549"/>
      <c r="E405" s="549"/>
      <c r="F405" s="549"/>
      <c r="G405" s="549"/>
    </row>
    <row r="406" spans="1:7">
      <c r="A406" s="549"/>
      <c r="B406" s="549"/>
      <c r="C406" s="549"/>
      <c r="D406" s="549"/>
      <c r="E406" s="549"/>
      <c r="F406" s="549"/>
      <c r="G406" s="549"/>
    </row>
    <row r="407" spans="1:7">
      <c r="A407" s="549"/>
      <c r="B407" s="549"/>
      <c r="C407" s="549"/>
      <c r="D407" s="549"/>
      <c r="E407" s="549"/>
      <c r="F407" s="549"/>
      <c r="G407" s="549"/>
    </row>
    <row r="408" spans="1:7">
      <c r="A408" s="549"/>
      <c r="B408" s="549"/>
      <c r="C408" s="549"/>
      <c r="D408" s="549"/>
      <c r="E408" s="549"/>
      <c r="F408" s="549"/>
      <c r="G408" s="549"/>
    </row>
    <row r="409" spans="1:7">
      <c r="A409" s="549"/>
      <c r="B409" s="549"/>
      <c r="C409" s="549"/>
      <c r="D409" s="549"/>
      <c r="E409" s="549"/>
      <c r="F409" s="549"/>
      <c r="G409" s="549"/>
    </row>
    <row r="410" spans="1:7">
      <c r="A410" s="549"/>
      <c r="B410" s="549"/>
      <c r="C410" s="549"/>
      <c r="D410" s="549"/>
      <c r="E410" s="549"/>
      <c r="F410" s="549"/>
      <c r="G410" s="549"/>
    </row>
    <row r="411" spans="1:7">
      <c r="A411" s="549"/>
      <c r="B411" s="549"/>
      <c r="C411" s="549"/>
      <c r="D411" s="549"/>
      <c r="E411" s="549"/>
      <c r="F411" s="549"/>
      <c r="G411" s="549"/>
    </row>
    <row r="412" spans="1:7">
      <c r="A412" s="549"/>
      <c r="B412" s="549"/>
      <c r="C412" s="549"/>
      <c r="D412" s="549"/>
      <c r="E412" s="549"/>
      <c r="F412" s="549"/>
      <c r="G412" s="549"/>
    </row>
    <row r="413" spans="1:7">
      <c r="A413" s="549"/>
      <c r="B413" s="549"/>
      <c r="C413" s="549"/>
      <c r="D413" s="549"/>
      <c r="E413" s="549"/>
      <c r="F413" s="549"/>
      <c r="G413" s="549"/>
    </row>
    <row r="414" spans="1:7">
      <c r="A414" s="549"/>
      <c r="B414" s="549"/>
      <c r="C414" s="549"/>
      <c r="D414" s="549"/>
      <c r="E414" s="549"/>
      <c r="F414" s="549"/>
      <c r="G414" s="549"/>
    </row>
    <row r="415" spans="1:7">
      <c r="A415" s="549"/>
      <c r="B415" s="549"/>
      <c r="C415" s="549"/>
      <c r="D415" s="549"/>
      <c r="E415" s="549"/>
      <c r="F415" s="549"/>
      <c r="G415" s="549"/>
    </row>
    <row r="416" spans="1:7">
      <c r="A416" s="549"/>
      <c r="B416" s="549"/>
      <c r="C416" s="549"/>
      <c r="D416" s="549"/>
      <c r="E416" s="549"/>
      <c r="F416" s="549"/>
      <c r="G416" s="549"/>
    </row>
    <row r="417" spans="1:7">
      <c r="A417" s="549"/>
      <c r="B417" s="549"/>
      <c r="C417" s="549"/>
      <c r="D417" s="549"/>
      <c r="E417" s="549"/>
      <c r="F417" s="549"/>
      <c r="G417" s="549"/>
    </row>
    <row r="418" spans="1:7">
      <c r="A418" s="549"/>
      <c r="B418" s="549"/>
      <c r="C418" s="549"/>
      <c r="D418" s="549"/>
      <c r="E418" s="549"/>
      <c r="F418" s="549"/>
      <c r="G418" s="549"/>
    </row>
    <row r="419" spans="1:7">
      <c r="A419" s="549"/>
      <c r="B419" s="549"/>
      <c r="C419" s="549"/>
      <c r="D419" s="549"/>
      <c r="E419" s="549"/>
      <c r="F419" s="549"/>
      <c r="G419" s="549"/>
    </row>
    <row r="420" spans="1:7">
      <c r="A420" s="549"/>
      <c r="B420" s="549"/>
      <c r="C420" s="549"/>
      <c r="D420" s="549"/>
      <c r="E420" s="549"/>
      <c r="F420" s="549"/>
      <c r="G420" s="549"/>
    </row>
    <row r="421" spans="1:7">
      <c r="A421" s="549"/>
      <c r="B421" s="549"/>
      <c r="C421" s="549"/>
      <c r="D421" s="549"/>
      <c r="E421" s="549"/>
      <c r="F421" s="549"/>
      <c r="G421" s="549"/>
    </row>
    <row r="422" spans="1:7">
      <c r="A422" s="549"/>
      <c r="B422" s="549"/>
      <c r="C422" s="549"/>
      <c r="D422" s="549"/>
      <c r="E422" s="549"/>
      <c r="F422" s="549"/>
      <c r="G422" s="549"/>
    </row>
    <row r="423" spans="1:7">
      <c r="A423" s="549"/>
      <c r="B423" s="549"/>
      <c r="C423" s="549"/>
      <c r="D423" s="549"/>
      <c r="E423" s="549"/>
      <c r="F423" s="549"/>
      <c r="G423" s="549"/>
    </row>
    <row r="424" spans="1:7">
      <c r="A424" s="549"/>
      <c r="B424" s="549"/>
      <c r="C424" s="549"/>
      <c r="D424" s="549"/>
      <c r="E424" s="549"/>
      <c r="F424" s="549"/>
      <c r="G424" s="549"/>
    </row>
    <row r="425" spans="1:7">
      <c r="A425" s="549"/>
      <c r="B425" s="549"/>
      <c r="C425" s="549"/>
      <c r="D425" s="549"/>
      <c r="E425" s="549"/>
      <c r="F425" s="549"/>
      <c r="G425" s="549"/>
    </row>
    <row r="426" spans="1:7">
      <c r="A426" s="549"/>
      <c r="B426" s="549"/>
      <c r="C426" s="549"/>
      <c r="D426" s="549"/>
      <c r="E426" s="549"/>
      <c r="F426" s="549"/>
      <c r="G426" s="549"/>
    </row>
    <row r="427" spans="1:7">
      <c r="A427" s="549"/>
      <c r="B427" s="549"/>
      <c r="C427" s="549"/>
      <c r="D427" s="549"/>
      <c r="E427" s="549"/>
      <c r="F427" s="549"/>
      <c r="G427" s="549"/>
    </row>
    <row r="428" spans="1:7">
      <c r="A428" s="549"/>
      <c r="B428" s="549"/>
      <c r="C428" s="549"/>
      <c r="D428" s="549"/>
      <c r="E428" s="549"/>
      <c r="F428" s="549"/>
      <c r="G428" s="549"/>
    </row>
    <row r="429" spans="1:7">
      <c r="A429" s="549"/>
      <c r="B429" s="549"/>
      <c r="C429" s="549"/>
      <c r="D429" s="549"/>
      <c r="E429" s="549"/>
      <c r="F429" s="549"/>
      <c r="G429" s="549"/>
    </row>
    <row r="430" spans="1:7">
      <c r="A430" s="549"/>
      <c r="B430" s="549"/>
      <c r="C430" s="549"/>
      <c r="D430" s="549"/>
      <c r="E430" s="549"/>
      <c r="F430" s="549"/>
      <c r="G430" s="549"/>
    </row>
    <row r="431" spans="1:7">
      <c r="A431" s="549"/>
      <c r="B431" s="549"/>
      <c r="C431" s="549"/>
      <c r="D431" s="549"/>
      <c r="E431" s="549"/>
      <c r="F431" s="549"/>
      <c r="G431" s="549"/>
    </row>
    <row r="432" spans="1:7">
      <c r="A432" s="549"/>
      <c r="B432" s="549"/>
      <c r="C432" s="549"/>
      <c r="D432" s="549"/>
      <c r="E432" s="549"/>
      <c r="F432" s="549"/>
      <c r="G432" s="549"/>
    </row>
    <row r="433" spans="1:7">
      <c r="A433" s="549"/>
      <c r="B433" s="549"/>
      <c r="C433" s="549"/>
      <c r="D433" s="549"/>
      <c r="E433" s="549"/>
      <c r="F433" s="549"/>
      <c r="G433" s="549"/>
    </row>
    <row r="434" spans="1:7">
      <c r="A434" s="549"/>
      <c r="B434" s="549"/>
      <c r="C434" s="549"/>
      <c r="D434" s="549"/>
      <c r="E434" s="549"/>
      <c r="F434" s="549"/>
      <c r="G434" s="549"/>
    </row>
    <row r="435" spans="1:7">
      <c r="A435" s="549"/>
      <c r="B435" s="549"/>
      <c r="C435" s="549"/>
      <c r="D435" s="549"/>
      <c r="E435" s="549"/>
      <c r="F435" s="549"/>
      <c r="G435" s="549"/>
    </row>
    <row r="436" spans="1:7">
      <c r="A436" s="549"/>
      <c r="B436" s="549"/>
      <c r="C436" s="549"/>
      <c r="D436" s="549"/>
      <c r="E436" s="549"/>
      <c r="F436" s="549"/>
      <c r="G436" s="549"/>
    </row>
    <row r="437" spans="1:7">
      <c r="A437" s="549"/>
      <c r="B437" s="549"/>
      <c r="C437" s="549"/>
      <c r="D437" s="549"/>
      <c r="E437" s="549"/>
      <c r="F437" s="549"/>
      <c r="G437" s="549"/>
    </row>
    <row r="438" spans="1:7">
      <c r="A438" s="549"/>
      <c r="B438" s="549"/>
      <c r="C438" s="549"/>
      <c r="D438" s="549"/>
      <c r="E438" s="549"/>
      <c r="F438" s="549"/>
      <c r="G438" s="549"/>
    </row>
    <row r="439" spans="1:7">
      <c r="A439" s="549"/>
      <c r="B439" s="549"/>
      <c r="C439" s="549"/>
      <c r="D439" s="549"/>
      <c r="E439" s="549"/>
      <c r="F439" s="549"/>
      <c r="G439" s="549"/>
    </row>
    <row r="440" spans="1:7">
      <c r="A440" s="549"/>
      <c r="B440" s="549"/>
      <c r="C440" s="549"/>
      <c r="D440" s="549"/>
      <c r="E440" s="549"/>
      <c r="F440" s="549"/>
      <c r="G440" s="549"/>
    </row>
    <row r="441" spans="1:7">
      <c r="A441" s="549"/>
      <c r="B441" s="549"/>
      <c r="C441" s="549"/>
      <c r="D441" s="549"/>
      <c r="E441" s="549"/>
      <c r="F441" s="549"/>
      <c r="G441" s="549"/>
    </row>
    <row r="442" spans="1:7">
      <c r="A442" s="549"/>
      <c r="B442" s="549"/>
      <c r="C442" s="549"/>
      <c r="D442" s="549"/>
      <c r="E442" s="549"/>
      <c r="F442" s="549"/>
      <c r="G442" s="549"/>
    </row>
    <row r="443" spans="1:7">
      <c r="A443" s="549"/>
      <c r="B443" s="549"/>
      <c r="C443" s="549"/>
      <c r="D443" s="549"/>
      <c r="E443" s="549"/>
      <c r="F443" s="549"/>
      <c r="G443" s="549"/>
    </row>
    <row r="444" spans="1:7">
      <c r="A444" s="549"/>
      <c r="B444" s="549"/>
      <c r="C444" s="549"/>
      <c r="D444" s="549"/>
      <c r="E444" s="549"/>
      <c r="F444" s="549"/>
      <c r="G444" s="549"/>
    </row>
    <row r="445" spans="1:7">
      <c r="A445" s="549"/>
      <c r="B445" s="549"/>
      <c r="C445" s="549"/>
      <c r="D445" s="549"/>
      <c r="E445" s="549"/>
      <c r="F445" s="549"/>
      <c r="G445" s="549"/>
    </row>
    <row r="446" spans="1:7">
      <c r="A446" s="549"/>
      <c r="B446" s="549"/>
      <c r="C446" s="549"/>
      <c r="D446" s="549"/>
      <c r="E446" s="549"/>
      <c r="F446" s="549"/>
      <c r="G446" s="549"/>
    </row>
    <row r="447" spans="1:7">
      <c r="A447" s="549"/>
      <c r="B447" s="549"/>
      <c r="C447" s="549"/>
      <c r="D447" s="549"/>
      <c r="E447" s="549"/>
      <c r="F447" s="549"/>
      <c r="G447" s="549"/>
    </row>
    <row r="448" spans="1:7">
      <c r="A448" s="549"/>
      <c r="B448" s="549"/>
      <c r="C448" s="549"/>
      <c r="D448" s="549"/>
      <c r="E448" s="549"/>
      <c r="F448" s="549"/>
      <c r="G448" s="549"/>
    </row>
    <row r="449" spans="1:7">
      <c r="A449" s="549"/>
      <c r="B449" s="549"/>
      <c r="C449" s="549"/>
      <c r="D449" s="549"/>
      <c r="E449" s="549"/>
      <c r="F449" s="549"/>
      <c r="G449" s="549"/>
    </row>
    <row r="450" spans="1:7">
      <c r="A450" s="549"/>
      <c r="B450" s="549"/>
      <c r="C450" s="549"/>
      <c r="D450" s="549"/>
      <c r="E450" s="549"/>
      <c r="F450" s="549"/>
      <c r="G450" s="549"/>
    </row>
    <row r="451" spans="1:7">
      <c r="A451" s="549"/>
      <c r="B451" s="549"/>
      <c r="C451" s="549"/>
      <c r="D451" s="549"/>
      <c r="E451" s="549"/>
      <c r="F451" s="549"/>
      <c r="G451" s="549"/>
    </row>
    <row r="452" spans="1:7">
      <c r="A452" s="549"/>
      <c r="B452" s="549"/>
      <c r="C452" s="549"/>
      <c r="D452" s="549"/>
      <c r="E452" s="549"/>
      <c r="F452" s="549"/>
      <c r="G452" s="549"/>
    </row>
    <row r="453" spans="1:7">
      <c r="A453" s="549"/>
      <c r="B453" s="549"/>
      <c r="C453" s="549"/>
      <c r="D453" s="549"/>
      <c r="E453" s="549"/>
      <c r="F453" s="549"/>
      <c r="G453" s="549"/>
    </row>
    <row r="454" spans="1:7">
      <c r="A454" s="549"/>
      <c r="B454" s="549"/>
      <c r="C454" s="549"/>
      <c r="D454" s="549"/>
      <c r="E454" s="549"/>
      <c r="F454" s="549"/>
      <c r="G454" s="549"/>
    </row>
    <row r="455" spans="1:7">
      <c r="A455" s="549"/>
      <c r="B455" s="549"/>
      <c r="C455" s="549"/>
      <c r="D455" s="549"/>
      <c r="E455" s="549"/>
      <c r="F455" s="549"/>
      <c r="G455" s="549"/>
    </row>
    <row r="456" spans="1:7">
      <c r="A456" s="549"/>
      <c r="B456" s="549"/>
      <c r="C456" s="549"/>
      <c r="D456" s="549"/>
      <c r="E456" s="549"/>
      <c r="F456" s="549"/>
      <c r="G456" s="549"/>
    </row>
    <row r="457" spans="1:7">
      <c r="A457" s="549"/>
      <c r="B457" s="549"/>
      <c r="C457" s="549"/>
      <c r="D457" s="549"/>
      <c r="E457" s="549"/>
      <c r="F457" s="549"/>
      <c r="G457" s="549"/>
    </row>
    <row r="458" spans="1:7">
      <c r="A458" s="549"/>
      <c r="B458" s="549"/>
      <c r="C458" s="549"/>
      <c r="D458" s="549"/>
      <c r="E458" s="549"/>
      <c r="F458" s="549"/>
      <c r="G458" s="549"/>
    </row>
    <row r="459" spans="1:7">
      <c r="A459" s="549"/>
      <c r="B459" s="549"/>
      <c r="C459" s="549"/>
      <c r="D459" s="549"/>
      <c r="E459" s="549"/>
      <c r="F459" s="549"/>
      <c r="G459" s="549"/>
    </row>
    <row r="460" spans="1:7">
      <c r="A460" s="549"/>
      <c r="B460" s="549"/>
      <c r="C460" s="549"/>
      <c r="D460" s="549"/>
      <c r="E460" s="549"/>
      <c r="F460" s="549"/>
      <c r="G460" s="549"/>
    </row>
    <row r="461" spans="1:7">
      <c r="A461" s="549"/>
      <c r="B461" s="549"/>
      <c r="C461" s="549"/>
      <c r="D461" s="549"/>
      <c r="E461" s="549"/>
      <c r="F461" s="549"/>
      <c r="G461" s="549"/>
    </row>
    <row r="462" spans="1:7">
      <c r="A462" s="549"/>
      <c r="B462" s="549"/>
      <c r="C462" s="549"/>
      <c r="D462" s="549"/>
      <c r="E462" s="549"/>
      <c r="F462" s="549"/>
      <c r="G462" s="549"/>
    </row>
    <row r="463" spans="1:7">
      <c r="A463" s="549"/>
      <c r="B463" s="549"/>
      <c r="C463" s="549"/>
      <c r="D463" s="549"/>
      <c r="E463" s="549"/>
      <c r="F463" s="549"/>
      <c r="G463" s="549"/>
    </row>
    <row r="464" spans="1:7">
      <c r="A464" s="549"/>
      <c r="B464" s="549"/>
      <c r="C464" s="549"/>
      <c r="D464" s="549"/>
      <c r="E464" s="549"/>
      <c r="F464" s="549"/>
      <c r="G464" s="549"/>
    </row>
    <row r="465" spans="1:7">
      <c r="A465" s="549"/>
      <c r="B465" s="549"/>
      <c r="C465" s="549"/>
      <c r="D465" s="549"/>
      <c r="E465" s="549"/>
      <c r="F465" s="549"/>
      <c r="G465" s="549"/>
    </row>
    <row r="466" spans="1:7">
      <c r="A466" s="549"/>
      <c r="B466" s="549"/>
      <c r="C466" s="549"/>
      <c r="D466" s="549"/>
      <c r="E466" s="549"/>
      <c r="F466" s="549"/>
      <c r="G466" s="549"/>
    </row>
    <row r="467" spans="1:7">
      <c r="A467" s="549"/>
      <c r="B467" s="549"/>
      <c r="C467" s="549"/>
      <c r="D467" s="549"/>
      <c r="E467" s="549"/>
      <c r="F467" s="549"/>
      <c r="G467" s="549"/>
    </row>
    <row r="468" spans="1:7">
      <c r="A468" s="549"/>
      <c r="B468" s="549"/>
      <c r="C468" s="549"/>
      <c r="D468" s="549"/>
      <c r="E468" s="549"/>
      <c r="F468" s="549"/>
      <c r="G468" s="549"/>
    </row>
    <row r="469" spans="1:7">
      <c r="A469" s="549"/>
      <c r="B469" s="549"/>
      <c r="C469" s="549"/>
      <c r="D469" s="549"/>
      <c r="E469" s="549"/>
      <c r="F469" s="549"/>
      <c r="G469" s="549"/>
    </row>
    <row r="470" spans="1:7">
      <c r="A470" s="549"/>
      <c r="B470" s="549"/>
      <c r="C470" s="549"/>
      <c r="D470" s="549"/>
      <c r="E470" s="549"/>
      <c r="F470" s="549"/>
      <c r="G470" s="549"/>
    </row>
    <row r="471" spans="1:7">
      <c r="A471" s="549"/>
      <c r="B471" s="549"/>
      <c r="C471" s="549"/>
      <c r="D471" s="549"/>
      <c r="E471" s="549"/>
      <c r="F471" s="549"/>
      <c r="G471" s="549"/>
    </row>
    <row r="472" spans="1:7">
      <c r="A472" s="549"/>
      <c r="B472" s="549"/>
      <c r="C472" s="549"/>
      <c r="D472" s="549"/>
      <c r="E472" s="549"/>
      <c r="F472" s="549"/>
      <c r="G472" s="549"/>
    </row>
    <row r="473" spans="1:7">
      <c r="A473" s="549"/>
      <c r="B473" s="549"/>
      <c r="C473" s="549"/>
      <c r="D473" s="549"/>
      <c r="E473" s="549"/>
      <c r="F473" s="549"/>
      <c r="G473" s="549"/>
    </row>
    <row r="474" spans="1:7">
      <c r="A474" s="549"/>
      <c r="B474" s="549"/>
      <c r="C474" s="549"/>
      <c r="D474" s="549"/>
      <c r="E474" s="549"/>
      <c r="F474" s="549"/>
      <c r="G474" s="549"/>
    </row>
    <row r="475" spans="1:7">
      <c r="A475" s="549"/>
      <c r="B475" s="549"/>
      <c r="C475" s="549"/>
      <c r="D475" s="549"/>
      <c r="E475" s="549"/>
      <c r="F475" s="549"/>
      <c r="G475" s="549"/>
    </row>
    <row r="476" spans="1:7">
      <c r="A476" s="549"/>
      <c r="B476" s="549"/>
      <c r="C476" s="549"/>
      <c r="D476" s="549"/>
      <c r="E476" s="549"/>
      <c r="F476" s="549"/>
      <c r="G476" s="549"/>
    </row>
    <row r="477" spans="1:7">
      <c r="A477" s="549"/>
      <c r="B477" s="549"/>
      <c r="C477" s="549"/>
      <c r="D477" s="549"/>
      <c r="E477" s="549"/>
      <c r="F477" s="549"/>
      <c r="G477" s="549"/>
    </row>
    <row r="478" spans="1:7">
      <c r="A478" s="549"/>
      <c r="B478" s="549"/>
      <c r="C478" s="549"/>
      <c r="D478" s="549"/>
      <c r="E478" s="549"/>
      <c r="F478" s="549"/>
      <c r="G478" s="549"/>
    </row>
    <row r="479" spans="1:7">
      <c r="A479" s="549"/>
      <c r="B479" s="549"/>
      <c r="C479" s="549"/>
      <c r="D479" s="549"/>
      <c r="E479" s="549"/>
      <c r="F479" s="549"/>
      <c r="G479" s="549"/>
    </row>
    <row r="480" spans="1:7">
      <c r="A480" s="549"/>
      <c r="B480" s="549"/>
      <c r="C480" s="549"/>
      <c r="D480" s="549"/>
      <c r="E480" s="549"/>
      <c r="F480" s="549"/>
      <c r="G480" s="549"/>
    </row>
    <row r="481" spans="1:7">
      <c r="A481" s="549"/>
      <c r="B481" s="549"/>
      <c r="C481" s="549"/>
      <c r="D481" s="549"/>
      <c r="E481" s="549"/>
      <c r="F481" s="549"/>
      <c r="G481" s="549"/>
    </row>
    <row r="482" spans="1:7">
      <c r="A482" s="549"/>
      <c r="B482" s="549"/>
      <c r="C482" s="549"/>
      <c r="D482" s="549"/>
      <c r="E482" s="549"/>
      <c r="F482" s="549"/>
      <c r="G482" s="549"/>
    </row>
    <row r="483" spans="1:7">
      <c r="A483" s="549"/>
      <c r="B483" s="549"/>
      <c r="C483" s="549"/>
      <c r="D483" s="549"/>
      <c r="E483" s="549"/>
      <c r="F483" s="549"/>
      <c r="G483" s="549"/>
    </row>
    <row r="484" spans="1:7">
      <c r="A484" s="549"/>
      <c r="B484" s="549"/>
      <c r="C484" s="549"/>
      <c r="D484" s="549"/>
      <c r="E484" s="549"/>
      <c r="F484" s="549"/>
      <c r="G484" s="549"/>
    </row>
    <row r="485" spans="1:7">
      <c r="A485" s="549"/>
      <c r="B485" s="549"/>
      <c r="C485" s="549"/>
      <c r="D485" s="549"/>
      <c r="E485" s="549"/>
      <c r="F485" s="549"/>
      <c r="G485" s="549"/>
    </row>
    <row r="486" spans="1:7">
      <c r="A486" s="549"/>
      <c r="B486" s="549"/>
      <c r="C486" s="549"/>
      <c r="D486" s="549"/>
      <c r="E486" s="549"/>
      <c r="F486" s="549"/>
      <c r="G486" s="549"/>
    </row>
    <row r="487" spans="1:7">
      <c r="A487" s="549"/>
      <c r="B487" s="549"/>
      <c r="C487" s="549"/>
      <c r="D487" s="549"/>
      <c r="E487" s="549"/>
      <c r="F487" s="549"/>
      <c r="G487" s="549"/>
    </row>
    <row r="488" spans="1:7">
      <c r="A488" s="549"/>
      <c r="B488" s="549"/>
      <c r="C488" s="549"/>
      <c r="D488" s="549"/>
      <c r="E488" s="549"/>
      <c r="F488" s="549"/>
      <c r="G488" s="549"/>
    </row>
    <row r="489" spans="1:7">
      <c r="A489" s="549"/>
      <c r="B489" s="549"/>
      <c r="C489" s="549"/>
      <c r="D489" s="549"/>
      <c r="E489" s="549"/>
      <c r="F489" s="549"/>
      <c r="G489" s="549"/>
    </row>
    <row r="490" spans="1:7">
      <c r="A490" s="549"/>
      <c r="B490" s="549"/>
      <c r="C490" s="549"/>
      <c r="D490" s="549"/>
      <c r="E490" s="549"/>
      <c r="F490" s="549"/>
      <c r="G490" s="549"/>
    </row>
    <row r="491" spans="1:7">
      <c r="A491" s="549"/>
      <c r="B491" s="549"/>
      <c r="C491" s="549"/>
      <c r="D491" s="549"/>
      <c r="E491" s="549"/>
      <c r="F491" s="549"/>
      <c r="G491" s="549"/>
    </row>
    <row r="492" spans="1:7">
      <c r="A492" s="549"/>
      <c r="B492" s="549"/>
      <c r="C492" s="549"/>
      <c r="D492" s="549"/>
      <c r="E492" s="549"/>
      <c r="F492" s="549"/>
      <c r="G492" s="549"/>
    </row>
    <row r="493" spans="1:7">
      <c r="A493" s="549"/>
      <c r="B493" s="549"/>
      <c r="C493" s="549"/>
      <c r="D493" s="549"/>
      <c r="E493" s="549"/>
      <c r="F493" s="549"/>
      <c r="G493" s="549"/>
    </row>
    <row r="494" spans="1:7">
      <c r="A494" s="549"/>
      <c r="B494" s="549"/>
      <c r="C494" s="549"/>
      <c r="D494" s="549"/>
      <c r="E494" s="549"/>
      <c r="F494" s="549"/>
      <c r="G494" s="549"/>
    </row>
    <row r="495" spans="1:7">
      <c r="A495" s="549"/>
      <c r="B495" s="549"/>
      <c r="C495" s="549"/>
      <c r="D495" s="549"/>
      <c r="E495" s="549"/>
      <c r="F495" s="549"/>
      <c r="G495" s="549"/>
    </row>
    <row r="496" spans="1:7">
      <c r="A496" s="549"/>
      <c r="B496" s="549"/>
      <c r="C496" s="549"/>
      <c r="D496" s="549"/>
      <c r="E496" s="549"/>
      <c r="F496" s="549"/>
      <c r="G496" s="549"/>
    </row>
    <row r="497" spans="1:7">
      <c r="A497" s="549"/>
      <c r="B497" s="549"/>
      <c r="C497" s="549"/>
      <c r="D497" s="549"/>
      <c r="E497" s="549"/>
      <c r="F497" s="549"/>
      <c r="G497" s="549"/>
    </row>
    <row r="498" spans="1:7">
      <c r="A498" s="549"/>
      <c r="B498" s="549"/>
      <c r="C498" s="549"/>
      <c r="D498" s="549"/>
      <c r="E498" s="549"/>
      <c r="F498" s="549"/>
      <c r="G498" s="549"/>
    </row>
    <row r="499" spans="1:7">
      <c r="A499" s="549"/>
      <c r="B499" s="549"/>
      <c r="C499" s="549"/>
      <c r="D499" s="549"/>
      <c r="E499" s="549"/>
      <c r="F499" s="549"/>
      <c r="G499" s="549"/>
    </row>
    <row r="500" spans="1:7">
      <c r="A500" s="549"/>
      <c r="B500" s="549"/>
      <c r="C500" s="549"/>
      <c r="D500" s="549"/>
      <c r="E500" s="549"/>
      <c r="F500" s="549"/>
      <c r="G500" s="549"/>
    </row>
    <row r="501" spans="1:7">
      <c r="A501" s="549"/>
      <c r="B501" s="549"/>
      <c r="C501" s="549"/>
      <c r="D501" s="549"/>
      <c r="E501" s="549"/>
      <c r="F501" s="549"/>
      <c r="G501" s="549"/>
    </row>
    <row r="502" spans="1:7">
      <c r="A502" s="549"/>
      <c r="B502" s="549"/>
      <c r="C502" s="549"/>
      <c r="D502" s="549"/>
      <c r="E502" s="549"/>
      <c r="F502" s="549"/>
      <c r="G502" s="549"/>
    </row>
    <row r="503" spans="1:7">
      <c r="A503" s="549"/>
      <c r="B503" s="549"/>
      <c r="C503" s="549"/>
      <c r="D503" s="549"/>
      <c r="E503" s="549"/>
      <c r="F503" s="549"/>
      <c r="G503" s="549"/>
    </row>
    <row r="504" spans="1:7">
      <c r="A504" s="549"/>
      <c r="B504" s="549"/>
      <c r="C504" s="549"/>
      <c r="D504" s="549"/>
      <c r="E504" s="549"/>
      <c r="F504" s="549"/>
      <c r="G504" s="549"/>
    </row>
    <row r="505" spans="1:7">
      <c r="A505" s="549"/>
      <c r="B505" s="549"/>
      <c r="C505" s="549"/>
      <c r="D505" s="549"/>
      <c r="E505" s="549"/>
      <c r="F505" s="549"/>
      <c r="G505" s="549"/>
    </row>
    <row r="506" spans="1:7">
      <c r="A506" s="549"/>
      <c r="B506" s="549"/>
      <c r="C506" s="549"/>
      <c r="D506" s="549"/>
      <c r="E506" s="549"/>
      <c r="F506" s="549"/>
      <c r="G506" s="549"/>
    </row>
    <row r="507" spans="1:7">
      <c r="A507" s="549"/>
      <c r="B507" s="549"/>
      <c r="C507" s="549"/>
      <c r="D507" s="549"/>
      <c r="E507" s="549"/>
      <c r="F507" s="549"/>
      <c r="G507" s="549"/>
    </row>
    <row r="508" spans="1:7">
      <c r="A508" s="549"/>
      <c r="B508" s="549"/>
      <c r="C508" s="549"/>
      <c r="D508" s="549"/>
      <c r="E508" s="549"/>
      <c r="F508" s="549"/>
      <c r="G508" s="549"/>
    </row>
    <row r="509" spans="1:7">
      <c r="A509" s="549"/>
      <c r="B509" s="549"/>
      <c r="C509" s="549"/>
      <c r="D509" s="549"/>
      <c r="E509" s="549"/>
      <c r="F509" s="549"/>
      <c r="G509" s="549"/>
    </row>
    <row r="510" spans="1:7">
      <c r="A510" s="549"/>
      <c r="B510" s="549"/>
      <c r="C510" s="549"/>
      <c r="D510" s="549"/>
      <c r="E510" s="549"/>
      <c r="F510" s="549"/>
      <c r="G510" s="549"/>
    </row>
    <row r="511" spans="1:7">
      <c r="A511" s="549"/>
      <c r="B511" s="549"/>
      <c r="C511" s="549"/>
      <c r="D511" s="549"/>
      <c r="E511" s="549"/>
      <c r="F511" s="549"/>
      <c r="G511" s="549"/>
    </row>
    <row r="512" spans="1:7">
      <c r="A512" s="549"/>
      <c r="B512" s="549"/>
      <c r="C512" s="549"/>
      <c r="D512" s="549"/>
      <c r="E512" s="549"/>
      <c r="F512" s="549"/>
      <c r="G512" s="549"/>
    </row>
    <row r="513" spans="1:7">
      <c r="A513" s="549"/>
      <c r="B513" s="549"/>
      <c r="C513" s="549"/>
      <c r="D513" s="549"/>
      <c r="E513" s="549"/>
      <c r="F513" s="549"/>
      <c r="G513" s="549"/>
    </row>
    <row r="514" spans="1:7">
      <c r="A514" s="549"/>
      <c r="B514" s="549"/>
      <c r="C514" s="549"/>
      <c r="D514" s="549"/>
      <c r="E514" s="549"/>
      <c r="F514" s="549"/>
      <c r="G514" s="549"/>
    </row>
    <row r="515" spans="1:7">
      <c r="A515" s="549"/>
      <c r="B515" s="549"/>
      <c r="C515" s="549"/>
      <c r="D515" s="549"/>
      <c r="E515" s="549"/>
      <c r="F515" s="549"/>
      <c r="G515" s="549"/>
    </row>
    <row r="516" spans="1:7">
      <c r="A516" s="549"/>
      <c r="B516" s="549"/>
      <c r="C516" s="549"/>
      <c r="D516" s="549"/>
      <c r="E516" s="549"/>
      <c r="F516" s="549"/>
      <c r="G516" s="549"/>
    </row>
    <row r="517" spans="1:7">
      <c r="A517" s="549"/>
      <c r="B517" s="549"/>
      <c r="C517" s="549"/>
      <c r="D517" s="549"/>
      <c r="E517" s="549"/>
      <c r="F517" s="549"/>
      <c r="G517" s="549"/>
    </row>
    <row r="518" spans="1:7">
      <c r="A518" s="549"/>
      <c r="B518" s="549"/>
      <c r="C518" s="549"/>
      <c r="D518" s="549"/>
      <c r="E518" s="549"/>
      <c r="F518" s="549"/>
      <c r="G518" s="549"/>
    </row>
    <row r="519" spans="1:7">
      <c r="A519" s="549"/>
      <c r="B519" s="549"/>
      <c r="C519" s="549"/>
      <c r="D519" s="549"/>
      <c r="E519" s="549"/>
      <c r="F519" s="549"/>
      <c r="G519" s="549"/>
    </row>
    <row r="520" spans="1:7">
      <c r="A520" s="549"/>
      <c r="B520" s="549"/>
      <c r="C520" s="549"/>
      <c r="D520" s="549"/>
      <c r="E520" s="549"/>
      <c r="F520" s="549"/>
      <c r="G520" s="549"/>
    </row>
    <row r="521" spans="1:7">
      <c r="A521" s="549"/>
      <c r="B521" s="549"/>
      <c r="C521" s="549"/>
      <c r="D521" s="549"/>
      <c r="E521" s="549"/>
      <c r="F521" s="549"/>
      <c r="G521" s="549"/>
    </row>
    <row r="522" spans="1:7">
      <c r="A522" s="549"/>
      <c r="B522" s="549"/>
      <c r="C522" s="549"/>
      <c r="D522" s="549"/>
      <c r="E522" s="549"/>
      <c r="F522" s="549"/>
      <c r="G522" s="549"/>
    </row>
    <row r="523" spans="1:7">
      <c r="A523" s="549"/>
      <c r="B523" s="549"/>
      <c r="C523" s="549"/>
      <c r="D523" s="549"/>
      <c r="E523" s="549"/>
      <c r="F523" s="549"/>
      <c r="G523" s="549"/>
    </row>
    <row r="524" spans="1:7">
      <c r="A524" s="549"/>
      <c r="B524" s="549"/>
      <c r="C524" s="549"/>
      <c r="D524" s="549"/>
      <c r="E524" s="549"/>
      <c r="F524" s="549"/>
      <c r="G524" s="549"/>
    </row>
    <row r="525" spans="1:7">
      <c r="A525" s="549"/>
      <c r="B525" s="549"/>
      <c r="C525" s="549"/>
      <c r="D525" s="549"/>
      <c r="E525" s="549"/>
      <c r="F525" s="549"/>
      <c r="G525" s="549"/>
    </row>
    <row r="526" spans="1:7">
      <c r="A526" s="549"/>
      <c r="B526" s="549"/>
      <c r="C526" s="549"/>
      <c r="D526" s="549"/>
      <c r="E526" s="549"/>
      <c r="F526" s="549"/>
      <c r="G526" s="549"/>
    </row>
    <row r="527" spans="1:7">
      <c r="A527" s="549"/>
      <c r="B527" s="549"/>
      <c r="C527" s="549"/>
      <c r="D527" s="549"/>
      <c r="E527" s="549"/>
      <c r="F527" s="549"/>
      <c r="G527" s="549"/>
    </row>
    <row r="528" spans="1:7">
      <c r="A528" s="549"/>
      <c r="B528" s="549"/>
      <c r="C528" s="549"/>
      <c r="D528" s="549"/>
      <c r="E528" s="549"/>
      <c r="F528" s="549"/>
      <c r="G528" s="549"/>
    </row>
    <row r="529" spans="1:7">
      <c r="A529" s="549"/>
      <c r="B529" s="549"/>
      <c r="C529" s="549"/>
      <c r="D529" s="549"/>
      <c r="E529" s="549"/>
      <c r="F529" s="549"/>
      <c r="G529" s="549"/>
    </row>
    <row r="530" spans="1:7">
      <c r="A530" s="549"/>
      <c r="B530" s="549"/>
      <c r="C530" s="549"/>
      <c r="D530" s="549"/>
      <c r="E530" s="549"/>
      <c r="F530" s="549"/>
      <c r="G530" s="549"/>
    </row>
    <row r="531" spans="1:7">
      <c r="A531" s="549"/>
      <c r="B531" s="549"/>
      <c r="C531" s="549"/>
      <c r="D531" s="549"/>
      <c r="E531" s="549"/>
      <c r="F531" s="549"/>
      <c r="G531" s="549"/>
    </row>
    <row r="532" spans="1:7">
      <c r="A532" s="549"/>
      <c r="B532" s="549"/>
      <c r="C532" s="549"/>
      <c r="D532" s="549"/>
      <c r="E532" s="549"/>
      <c r="F532" s="549"/>
      <c r="G532" s="549"/>
    </row>
    <row r="533" spans="1:7">
      <c r="A533" s="549"/>
      <c r="B533" s="549"/>
      <c r="C533" s="549"/>
      <c r="D533" s="549"/>
      <c r="E533" s="549"/>
      <c r="F533" s="549"/>
      <c r="G533" s="549"/>
    </row>
    <row r="534" spans="1:7">
      <c r="A534" s="549"/>
      <c r="B534" s="549"/>
      <c r="C534" s="549"/>
      <c r="D534" s="549"/>
      <c r="E534" s="549"/>
      <c r="F534" s="549"/>
      <c r="G534" s="549"/>
    </row>
    <row r="535" spans="1:7">
      <c r="A535" s="549"/>
      <c r="B535" s="549"/>
      <c r="C535" s="549"/>
      <c r="D535" s="549"/>
      <c r="E535" s="549"/>
      <c r="F535" s="549"/>
      <c r="G535" s="549"/>
    </row>
    <row r="536" spans="1:7">
      <c r="A536" s="549"/>
      <c r="B536" s="549"/>
      <c r="C536" s="549"/>
      <c r="D536" s="549"/>
      <c r="E536" s="549"/>
      <c r="F536" s="549"/>
      <c r="G536" s="549"/>
    </row>
    <row r="537" spans="1:7">
      <c r="A537" s="549"/>
      <c r="B537" s="549"/>
      <c r="C537" s="549"/>
      <c r="D537" s="549"/>
      <c r="E537" s="549"/>
      <c r="F537" s="549"/>
      <c r="G537" s="549"/>
    </row>
    <row r="538" spans="1:7">
      <c r="A538" s="549"/>
      <c r="B538" s="549"/>
      <c r="C538" s="549"/>
      <c r="D538" s="549"/>
      <c r="E538" s="549"/>
      <c r="F538" s="549"/>
      <c r="G538" s="549"/>
    </row>
    <row r="539" spans="1:7">
      <c r="A539" s="549"/>
      <c r="B539" s="549"/>
      <c r="C539" s="549"/>
      <c r="D539" s="549"/>
      <c r="E539" s="549"/>
      <c r="F539" s="549"/>
      <c r="G539" s="549"/>
    </row>
    <row r="540" spans="1:7">
      <c r="A540" s="549"/>
      <c r="B540" s="549"/>
      <c r="C540" s="549"/>
      <c r="D540" s="549"/>
      <c r="E540" s="549"/>
      <c r="F540" s="549"/>
      <c r="G540" s="549"/>
    </row>
    <row r="541" spans="1:7">
      <c r="A541" s="549"/>
      <c r="B541" s="549"/>
      <c r="C541" s="549"/>
      <c r="D541" s="549"/>
      <c r="E541" s="549"/>
      <c r="F541" s="549"/>
      <c r="G541" s="549"/>
    </row>
    <row r="542" spans="1:7">
      <c r="A542" s="549"/>
      <c r="B542" s="549"/>
      <c r="C542" s="549"/>
      <c r="D542" s="549"/>
      <c r="E542" s="549"/>
      <c r="F542" s="549"/>
      <c r="G542" s="549"/>
    </row>
    <row r="543" spans="1:7">
      <c r="A543" s="549"/>
      <c r="B543" s="549"/>
      <c r="C543" s="549"/>
      <c r="D543" s="549"/>
      <c r="E543" s="549"/>
      <c r="F543" s="549"/>
      <c r="G543" s="549"/>
    </row>
    <row r="544" spans="1:7">
      <c r="A544" s="549"/>
      <c r="B544" s="549"/>
      <c r="C544" s="549"/>
      <c r="D544" s="549"/>
      <c r="E544" s="549"/>
      <c r="F544" s="549"/>
      <c r="G544" s="549"/>
    </row>
    <row r="545" spans="1:7">
      <c r="A545" s="549"/>
      <c r="B545" s="549"/>
      <c r="C545" s="549"/>
      <c r="D545" s="549"/>
      <c r="E545" s="549"/>
      <c r="F545" s="549"/>
      <c r="G545" s="549"/>
    </row>
    <row r="546" spans="1:7">
      <c r="A546" s="549"/>
      <c r="B546" s="549"/>
      <c r="C546" s="549"/>
      <c r="D546" s="549"/>
      <c r="E546" s="549"/>
      <c r="F546" s="549"/>
      <c r="G546" s="549"/>
    </row>
    <row r="547" spans="1:7">
      <c r="A547" s="549"/>
      <c r="B547" s="549"/>
      <c r="C547" s="549"/>
      <c r="D547" s="549"/>
      <c r="E547" s="549"/>
      <c r="F547" s="549"/>
      <c r="G547" s="549"/>
    </row>
    <row r="548" spans="1:7">
      <c r="A548" s="549"/>
      <c r="B548" s="549"/>
      <c r="C548" s="549"/>
      <c r="D548" s="549"/>
      <c r="E548" s="549"/>
      <c r="F548" s="549"/>
      <c r="G548" s="549"/>
    </row>
    <row r="549" spans="1:7">
      <c r="A549" s="549"/>
      <c r="B549" s="549"/>
      <c r="C549" s="549"/>
      <c r="D549" s="549"/>
      <c r="E549" s="549"/>
      <c r="F549" s="549"/>
      <c r="G549" s="549"/>
    </row>
    <row r="550" spans="1:7">
      <c r="A550" s="549"/>
      <c r="B550" s="549"/>
      <c r="C550" s="549"/>
      <c r="D550" s="549"/>
      <c r="E550" s="549"/>
      <c r="F550" s="549"/>
      <c r="G550" s="549"/>
    </row>
    <row r="551" spans="1:7">
      <c r="A551" s="549"/>
      <c r="B551" s="549"/>
      <c r="C551" s="549"/>
      <c r="D551" s="549"/>
      <c r="E551" s="549"/>
      <c r="F551" s="549"/>
      <c r="G551" s="549"/>
    </row>
    <row r="552" spans="1:7">
      <c r="A552" s="549"/>
      <c r="B552" s="549"/>
      <c r="C552" s="549"/>
      <c r="D552" s="549"/>
      <c r="E552" s="549"/>
      <c r="F552" s="549"/>
      <c r="G552" s="549"/>
    </row>
    <row r="553" spans="1:7">
      <c r="A553" s="549"/>
      <c r="B553" s="549"/>
      <c r="C553" s="549"/>
      <c r="D553" s="549"/>
      <c r="E553" s="549"/>
      <c r="F553" s="549"/>
      <c r="G553" s="549"/>
    </row>
    <row r="554" spans="1:7">
      <c r="A554" s="549"/>
      <c r="B554" s="549"/>
      <c r="C554" s="549"/>
      <c r="D554" s="549"/>
      <c r="E554" s="549"/>
      <c r="F554" s="549"/>
      <c r="G554" s="549"/>
    </row>
    <row r="555" spans="1:7">
      <c r="A555" s="549"/>
      <c r="B555" s="549"/>
      <c r="C555" s="549"/>
      <c r="D555" s="549"/>
      <c r="E555" s="549"/>
      <c r="F555" s="549"/>
      <c r="G555" s="549"/>
    </row>
    <row r="556" spans="1:7">
      <c r="A556" s="549"/>
      <c r="B556" s="549"/>
      <c r="C556" s="549"/>
      <c r="D556" s="549"/>
      <c r="E556" s="549"/>
      <c r="F556" s="549"/>
      <c r="G556" s="549"/>
    </row>
    <row r="557" spans="1:7">
      <c r="A557" s="549"/>
      <c r="B557" s="549"/>
      <c r="C557" s="549"/>
      <c r="D557" s="549"/>
      <c r="E557" s="549"/>
      <c r="F557" s="549"/>
      <c r="G557" s="549"/>
    </row>
    <row r="558" spans="1:7">
      <c r="A558" s="549"/>
      <c r="B558" s="549"/>
      <c r="C558" s="549"/>
      <c r="D558" s="549"/>
      <c r="E558" s="549"/>
      <c r="F558" s="549"/>
      <c r="G558" s="549"/>
    </row>
    <row r="559" spans="1:7">
      <c r="A559" s="549"/>
      <c r="B559" s="549"/>
      <c r="C559" s="549"/>
      <c r="D559" s="549"/>
      <c r="E559" s="549"/>
      <c r="F559" s="549"/>
      <c r="G559" s="549"/>
    </row>
    <row r="560" spans="1:7">
      <c r="A560" s="549"/>
      <c r="B560" s="549"/>
      <c r="C560" s="549"/>
      <c r="D560" s="549"/>
      <c r="E560" s="549"/>
      <c r="F560" s="549"/>
      <c r="G560" s="549"/>
    </row>
    <row r="561" spans="1:7">
      <c r="A561" s="549"/>
      <c r="B561" s="549"/>
      <c r="C561" s="549"/>
      <c r="D561" s="549"/>
      <c r="E561" s="549"/>
      <c r="F561" s="549"/>
      <c r="G561" s="549"/>
    </row>
    <row r="562" spans="1:7">
      <c r="A562" s="549"/>
      <c r="B562" s="549"/>
      <c r="C562" s="549"/>
      <c r="D562" s="549"/>
      <c r="E562" s="549"/>
      <c r="F562" s="549"/>
      <c r="G562" s="549"/>
    </row>
    <row r="563" spans="1:7">
      <c r="A563" s="549"/>
      <c r="B563" s="549"/>
      <c r="C563" s="549"/>
      <c r="D563" s="549"/>
      <c r="E563" s="549"/>
      <c r="F563" s="549"/>
      <c r="G563" s="549"/>
    </row>
    <row r="564" spans="1:7">
      <c r="A564" s="549"/>
      <c r="B564" s="549"/>
      <c r="C564" s="549"/>
      <c r="D564" s="549"/>
      <c r="E564" s="549"/>
      <c r="F564" s="549"/>
      <c r="G564" s="549"/>
    </row>
    <row r="565" spans="1:7">
      <c r="A565" s="549"/>
      <c r="B565" s="549"/>
      <c r="C565" s="549"/>
      <c r="D565" s="549"/>
      <c r="E565" s="549"/>
      <c r="F565" s="549"/>
      <c r="G565" s="549"/>
    </row>
    <row r="566" spans="1:7">
      <c r="A566" s="549"/>
      <c r="B566" s="549"/>
      <c r="C566" s="549"/>
      <c r="D566" s="549"/>
      <c r="E566" s="549"/>
      <c r="F566" s="549"/>
      <c r="G566" s="549"/>
    </row>
    <row r="567" spans="1:7">
      <c r="A567" s="549"/>
      <c r="B567" s="549"/>
      <c r="C567" s="549"/>
      <c r="D567" s="549"/>
      <c r="E567" s="549"/>
      <c r="F567" s="549"/>
      <c r="G567" s="549"/>
    </row>
    <row r="568" spans="1:7">
      <c r="A568" s="549"/>
      <c r="B568" s="549"/>
      <c r="C568" s="549"/>
      <c r="D568" s="549"/>
      <c r="E568" s="549"/>
      <c r="F568" s="549"/>
      <c r="G568" s="549"/>
    </row>
    <row r="569" spans="1:7">
      <c r="A569" s="549"/>
      <c r="B569" s="549"/>
      <c r="C569" s="549"/>
      <c r="D569" s="549"/>
      <c r="E569" s="549"/>
      <c r="F569" s="549"/>
      <c r="G569" s="549"/>
    </row>
    <row r="570" spans="1:7">
      <c r="A570" s="549"/>
      <c r="B570" s="549"/>
      <c r="C570" s="549"/>
      <c r="D570" s="549"/>
      <c r="E570" s="549"/>
      <c r="F570" s="549"/>
      <c r="G570" s="549"/>
    </row>
    <row r="571" spans="1:7">
      <c r="A571" s="549"/>
      <c r="B571" s="549"/>
      <c r="C571" s="549"/>
      <c r="D571" s="549"/>
      <c r="E571" s="549"/>
      <c r="F571" s="549"/>
      <c r="G571" s="549"/>
    </row>
    <row r="572" spans="1:7">
      <c r="A572" s="549"/>
      <c r="B572" s="549"/>
      <c r="C572" s="549"/>
      <c r="D572" s="549"/>
      <c r="E572" s="549"/>
      <c r="F572" s="549"/>
      <c r="G572" s="549"/>
    </row>
    <row r="573" spans="1:7">
      <c r="A573" s="549"/>
      <c r="B573" s="549"/>
      <c r="C573" s="549"/>
      <c r="D573" s="549"/>
      <c r="E573" s="549"/>
      <c r="F573" s="549"/>
      <c r="G573" s="549"/>
    </row>
    <row r="574" spans="1:7">
      <c r="A574" s="549"/>
      <c r="B574" s="549"/>
      <c r="C574" s="549"/>
      <c r="D574" s="549"/>
      <c r="E574" s="549"/>
      <c r="F574" s="549"/>
      <c r="G574" s="549"/>
    </row>
    <row r="575" spans="1:7">
      <c r="A575" s="549"/>
      <c r="B575" s="549"/>
      <c r="C575" s="549"/>
      <c r="D575" s="549"/>
      <c r="E575" s="549"/>
      <c r="F575" s="549"/>
      <c r="G575" s="549"/>
    </row>
    <row r="576" spans="1:7">
      <c r="A576" s="549"/>
      <c r="B576" s="549"/>
      <c r="C576" s="549"/>
      <c r="D576" s="549"/>
      <c r="E576" s="549"/>
      <c r="F576" s="549"/>
      <c r="G576" s="549"/>
    </row>
    <row r="577" spans="1:7">
      <c r="A577" s="549"/>
      <c r="B577" s="549"/>
      <c r="C577" s="549"/>
      <c r="D577" s="549"/>
      <c r="E577" s="549"/>
      <c r="F577" s="549"/>
      <c r="G577" s="549"/>
    </row>
    <row r="578" spans="1:7">
      <c r="A578" s="549"/>
      <c r="B578" s="549"/>
      <c r="C578" s="549"/>
      <c r="D578" s="549"/>
      <c r="E578" s="549"/>
      <c r="F578" s="549"/>
      <c r="G578" s="549"/>
    </row>
    <row r="579" spans="1:7">
      <c r="A579" s="549"/>
      <c r="B579" s="549"/>
      <c r="C579" s="549"/>
      <c r="D579" s="549"/>
      <c r="E579" s="549"/>
      <c r="F579" s="549"/>
      <c r="G579" s="549"/>
    </row>
    <row r="580" spans="1:7">
      <c r="A580" s="549"/>
      <c r="B580" s="549"/>
      <c r="C580" s="549"/>
      <c r="D580" s="549"/>
      <c r="E580" s="549"/>
      <c r="F580" s="549"/>
      <c r="G580" s="549"/>
    </row>
    <row r="581" spans="1:7">
      <c r="A581" s="549"/>
      <c r="B581" s="549"/>
      <c r="C581" s="549"/>
      <c r="D581" s="549"/>
      <c r="E581" s="549"/>
      <c r="F581" s="549"/>
      <c r="G581" s="549"/>
    </row>
    <row r="582" spans="1:7">
      <c r="A582" s="549"/>
      <c r="B582" s="549"/>
      <c r="C582" s="549"/>
      <c r="D582" s="549"/>
      <c r="E582" s="549"/>
      <c r="F582" s="549"/>
      <c r="G582" s="549"/>
    </row>
    <row r="583" spans="1:7">
      <c r="A583" s="549"/>
      <c r="B583" s="549"/>
      <c r="C583" s="549"/>
      <c r="D583" s="549"/>
      <c r="E583" s="549"/>
      <c r="F583" s="549"/>
      <c r="G583" s="549"/>
    </row>
    <row r="584" spans="1:7">
      <c r="A584" s="549"/>
      <c r="B584" s="549"/>
      <c r="C584" s="549"/>
      <c r="D584" s="549"/>
      <c r="E584" s="549"/>
      <c r="F584" s="549"/>
      <c r="G584" s="549"/>
    </row>
    <row r="585" spans="1:7">
      <c r="A585" s="549"/>
      <c r="B585" s="549"/>
      <c r="C585" s="549"/>
      <c r="D585" s="549"/>
      <c r="E585" s="549"/>
      <c r="F585" s="549"/>
      <c r="G585" s="549"/>
    </row>
    <row r="586" spans="1:7">
      <c r="A586" s="549"/>
      <c r="B586" s="549"/>
      <c r="C586" s="549"/>
      <c r="D586" s="549"/>
      <c r="E586" s="549"/>
      <c r="F586" s="549"/>
      <c r="G586" s="549"/>
    </row>
    <row r="587" spans="1:7">
      <c r="A587" s="549"/>
      <c r="B587" s="549"/>
      <c r="C587" s="549"/>
      <c r="D587" s="549"/>
      <c r="E587" s="549"/>
      <c r="F587" s="549"/>
      <c r="G587" s="549"/>
    </row>
    <row r="588" spans="1:7">
      <c r="A588" s="549"/>
      <c r="B588" s="549"/>
      <c r="C588" s="549"/>
      <c r="D588" s="549"/>
      <c r="E588" s="549"/>
      <c r="F588" s="549"/>
      <c r="G588" s="549"/>
    </row>
    <row r="589" spans="1:7">
      <c r="A589" s="549"/>
      <c r="B589" s="549"/>
      <c r="C589" s="549"/>
      <c r="D589" s="549"/>
      <c r="E589" s="549"/>
      <c r="F589" s="549"/>
      <c r="G589" s="549"/>
    </row>
    <row r="590" spans="1:7">
      <c r="A590" s="549"/>
      <c r="B590" s="549"/>
      <c r="C590" s="549"/>
      <c r="D590" s="549"/>
      <c r="E590" s="549"/>
      <c r="F590" s="549"/>
      <c r="G590" s="549"/>
    </row>
    <row r="591" spans="1:7">
      <c r="A591" s="549"/>
      <c r="B591" s="549"/>
      <c r="C591" s="549"/>
      <c r="D591" s="549"/>
      <c r="E591" s="549"/>
      <c r="F591" s="549"/>
      <c r="G591" s="549"/>
    </row>
    <row r="592" spans="1:7">
      <c r="A592" s="549"/>
      <c r="B592" s="549"/>
      <c r="C592" s="549"/>
      <c r="D592" s="549"/>
      <c r="E592" s="549"/>
      <c r="F592" s="549"/>
      <c r="G592" s="549"/>
    </row>
    <row r="593" spans="1:7">
      <c r="A593" s="549"/>
      <c r="B593" s="549"/>
      <c r="C593" s="549"/>
      <c r="D593" s="549"/>
      <c r="E593" s="549"/>
      <c r="F593" s="549"/>
      <c r="G593" s="549"/>
    </row>
    <row r="594" spans="1:7">
      <c r="A594" s="549"/>
      <c r="B594" s="549"/>
      <c r="C594" s="549"/>
      <c r="D594" s="549"/>
      <c r="E594" s="549"/>
      <c r="F594" s="549"/>
      <c r="G594" s="549"/>
    </row>
    <row r="595" spans="1:7">
      <c r="A595" s="549"/>
      <c r="B595" s="549"/>
      <c r="C595" s="549"/>
      <c r="D595" s="549"/>
      <c r="E595" s="549"/>
      <c r="F595" s="549"/>
      <c r="G595" s="549"/>
    </row>
    <row r="596" spans="1:7">
      <c r="A596" s="549"/>
      <c r="B596" s="549"/>
      <c r="C596" s="549"/>
      <c r="D596" s="549"/>
      <c r="E596" s="549"/>
      <c r="F596" s="549"/>
      <c r="G596" s="549"/>
    </row>
    <row r="597" spans="1:7">
      <c r="A597" s="549"/>
      <c r="B597" s="549"/>
      <c r="C597" s="549"/>
      <c r="D597" s="549"/>
      <c r="E597" s="549"/>
      <c r="F597" s="549"/>
      <c r="G597" s="549"/>
    </row>
    <row r="598" spans="1:7">
      <c r="A598" s="549"/>
      <c r="B598" s="549"/>
      <c r="C598" s="549"/>
      <c r="D598" s="549"/>
      <c r="E598" s="549"/>
      <c r="F598" s="549"/>
      <c r="G598" s="549"/>
    </row>
    <row r="599" spans="1:7">
      <c r="A599" s="549"/>
      <c r="B599" s="549"/>
      <c r="C599" s="549"/>
      <c r="D599" s="549"/>
      <c r="E599" s="549"/>
      <c r="F599" s="549"/>
      <c r="G599" s="549"/>
    </row>
    <row r="600" spans="1:7">
      <c r="A600" s="549"/>
      <c r="B600" s="549"/>
      <c r="C600" s="549"/>
      <c r="D600" s="549"/>
      <c r="E600" s="549"/>
      <c r="F600" s="549"/>
      <c r="G600" s="549"/>
    </row>
    <row r="601" spans="1:7">
      <c r="A601" s="549"/>
      <c r="B601" s="549"/>
      <c r="C601" s="549"/>
      <c r="D601" s="549"/>
      <c r="E601" s="549"/>
      <c r="F601" s="549"/>
      <c r="G601" s="549"/>
    </row>
    <row r="602" spans="1:7">
      <c r="A602" s="549"/>
      <c r="B602" s="549"/>
      <c r="C602" s="549"/>
      <c r="D602" s="549"/>
      <c r="E602" s="549"/>
      <c r="F602" s="549"/>
      <c r="G602" s="549"/>
    </row>
    <row r="603" spans="1:7">
      <c r="A603" s="549"/>
      <c r="B603" s="549"/>
      <c r="C603" s="549"/>
      <c r="D603" s="549"/>
      <c r="E603" s="549"/>
      <c r="F603" s="549"/>
      <c r="G603" s="549"/>
    </row>
    <row r="604" spans="1:7">
      <c r="A604" s="549"/>
      <c r="B604" s="549"/>
      <c r="C604" s="549"/>
      <c r="D604" s="549"/>
      <c r="E604" s="549"/>
      <c r="F604" s="549"/>
      <c r="G604" s="549"/>
    </row>
    <row r="605" spans="1:7">
      <c r="A605" s="549"/>
      <c r="B605" s="549"/>
      <c r="C605" s="549"/>
      <c r="D605" s="549"/>
      <c r="E605" s="549"/>
      <c r="F605" s="549"/>
      <c r="G605" s="549"/>
    </row>
    <row r="606" spans="1:7">
      <c r="A606" s="549"/>
      <c r="B606" s="549"/>
      <c r="C606" s="549"/>
      <c r="D606" s="549"/>
      <c r="E606" s="549"/>
      <c r="F606" s="549"/>
      <c r="G606" s="549"/>
    </row>
    <row r="607" spans="1:7">
      <c r="A607" s="549"/>
      <c r="B607" s="549"/>
      <c r="C607" s="549"/>
      <c r="D607" s="549"/>
      <c r="E607" s="549"/>
      <c r="F607" s="549"/>
      <c r="G607" s="549"/>
    </row>
    <row r="608" spans="1:7">
      <c r="A608" s="549"/>
      <c r="B608" s="549"/>
      <c r="C608" s="549"/>
      <c r="D608" s="549"/>
      <c r="E608" s="549"/>
      <c r="F608" s="549"/>
      <c r="G608" s="549"/>
    </row>
    <row r="609" spans="1:7">
      <c r="A609" s="549"/>
      <c r="B609" s="549"/>
      <c r="C609" s="549"/>
      <c r="D609" s="549"/>
      <c r="E609" s="549"/>
      <c r="F609" s="549"/>
      <c r="G609" s="549"/>
    </row>
    <row r="610" spans="1:7">
      <c r="A610" s="549"/>
      <c r="B610" s="549"/>
      <c r="C610" s="549"/>
      <c r="D610" s="549"/>
      <c r="E610" s="549"/>
      <c r="F610" s="549"/>
      <c r="G610" s="549"/>
    </row>
    <row r="611" spans="1:7">
      <c r="A611" s="549"/>
      <c r="B611" s="549"/>
      <c r="C611" s="549"/>
      <c r="D611" s="549"/>
      <c r="E611" s="549"/>
      <c r="F611" s="549"/>
      <c r="G611" s="549"/>
    </row>
    <row r="612" spans="1:7">
      <c r="A612" s="549"/>
      <c r="B612" s="549"/>
      <c r="C612" s="549"/>
      <c r="D612" s="549"/>
      <c r="E612" s="549"/>
      <c r="F612" s="549"/>
      <c r="G612" s="549"/>
    </row>
    <row r="613" spans="1:7">
      <c r="A613" s="549"/>
      <c r="B613" s="549"/>
      <c r="C613" s="549"/>
      <c r="D613" s="549"/>
      <c r="E613" s="549"/>
      <c r="F613" s="549"/>
      <c r="G613" s="549"/>
    </row>
    <row r="614" spans="1:7">
      <c r="A614" s="549"/>
      <c r="B614" s="549"/>
      <c r="C614" s="549"/>
      <c r="D614" s="549"/>
      <c r="E614" s="549"/>
      <c r="F614" s="549"/>
      <c r="G614" s="549"/>
    </row>
    <row r="615" spans="1:7">
      <c r="A615" s="549"/>
      <c r="B615" s="549"/>
      <c r="C615" s="549"/>
      <c r="D615" s="549"/>
      <c r="E615" s="549"/>
      <c r="F615" s="549"/>
      <c r="G615" s="549"/>
    </row>
    <row r="616" spans="1:7">
      <c r="A616" s="549"/>
      <c r="B616" s="549"/>
      <c r="C616" s="549"/>
      <c r="D616" s="549"/>
      <c r="E616" s="549"/>
      <c r="F616" s="549"/>
      <c r="G616" s="549"/>
    </row>
    <row r="617" spans="1:7">
      <c r="A617" s="549"/>
      <c r="B617" s="549"/>
      <c r="C617" s="549"/>
      <c r="D617" s="549"/>
      <c r="E617" s="549"/>
      <c r="F617" s="549"/>
      <c r="G617" s="549"/>
    </row>
    <row r="618" spans="1:7">
      <c r="A618" s="549"/>
      <c r="B618" s="549"/>
      <c r="C618" s="549"/>
      <c r="D618" s="549"/>
      <c r="E618" s="549"/>
      <c r="F618" s="549"/>
      <c r="G618" s="549"/>
    </row>
    <row r="619" spans="1:7">
      <c r="A619" s="549"/>
      <c r="B619" s="549"/>
      <c r="C619" s="549"/>
      <c r="D619" s="549"/>
      <c r="E619" s="549"/>
      <c r="F619" s="549"/>
      <c r="G619" s="549"/>
    </row>
    <row r="620" spans="1:7">
      <c r="A620" s="549"/>
      <c r="B620" s="549"/>
      <c r="C620" s="549"/>
      <c r="D620" s="549"/>
      <c r="E620" s="549"/>
      <c r="F620" s="549"/>
      <c r="G620" s="549"/>
    </row>
    <row r="621" spans="1:7">
      <c r="A621" s="549"/>
      <c r="B621" s="549"/>
      <c r="C621" s="549"/>
      <c r="D621" s="549"/>
      <c r="E621" s="549"/>
      <c r="F621" s="549"/>
      <c r="G621" s="549"/>
    </row>
    <row r="622" spans="1:7">
      <c r="A622" s="549"/>
      <c r="B622" s="549"/>
      <c r="C622" s="549"/>
      <c r="D622" s="549"/>
      <c r="E622" s="549"/>
      <c r="F622" s="549"/>
      <c r="G622" s="549"/>
    </row>
    <row r="623" spans="1:7">
      <c r="A623" s="549"/>
      <c r="B623" s="549"/>
      <c r="C623" s="549"/>
      <c r="D623" s="549"/>
      <c r="E623" s="549"/>
      <c r="F623" s="549"/>
      <c r="G623" s="549"/>
    </row>
    <row r="624" spans="1:7">
      <c r="A624" s="549"/>
      <c r="B624" s="549"/>
      <c r="C624" s="549"/>
      <c r="D624" s="549"/>
      <c r="E624" s="549"/>
      <c r="F624" s="549"/>
      <c r="G624" s="549"/>
    </row>
    <row r="625" spans="1:7">
      <c r="A625" s="549"/>
      <c r="B625" s="549"/>
      <c r="C625" s="549"/>
      <c r="D625" s="549"/>
      <c r="E625" s="549"/>
      <c r="F625" s="549"/>
      <c r="G625" s="549"/>
    </row>
    <row r="626" spans="1:7">
      <c r="A626" s="549"/>
      <c r="B626" s="549"/>
      <c r="C626" s="549"/>
      <c r="D626" s="549"/>
      <c r="E626" s="549"/>
      <c r="F626" s="549"/>
      <c r="G626" s="549"/>
    </row>
    <row r="627" spans="1:7">
      <c r="A627" s="549"/>
      <c r="B627" s="549"/>
      <c r="C627" s="549"/>
      <c r="D627" s="549"/>
      <c r="E627" s="549"/>
      <c r="F627" s="549"/>
      <c r="G627" s="549"/>
    </row>
    <row r="628" spans="1:7">
      <c r="A628" s="549"/>
      <c r="B628" s="549"/>
      <c r="C628" s="549"/>
      <c r="D628" s="549"/>
      <c r="E628" s="549"/>
      <c r="F628" s="549"/>
      <c r="G628" s="549"/>
    </row>
    <row r="629" spans="1:7">
      <c r="A629" s="549"/>
      <c r="B629" s="549"/>
      <c r="C629" s="549"/>
      <c r="D629" s="549"/>
      <c r="E629" s="549"/>
      <c r="F629" s="549"/>
      <c r="G629" s="549"/>
    </row>
    <row r="630" spans="1:7">
      <c r="A630" s="549"/>
      <c r="B630" s="549"/>
      <c r="C630" s="549"/>
      <c r="D630" s="549"/>
      <c r="E630" s="549"/>
      <c r="F630" s="549"/>
      <c r="G630" s="549"/>
    </row>
    <row r="631" spans="1:7">
      <c r="A631" s="549"/>
      <c r="B631" s="549"/>
      <c r="C631" s="549"/>
      <c r="D631" s="549"/>
      <c r="E631" s="549"/>
      <c r="F631" s="549"/>
      <c r="G631" s="549"/>
    </row>
    <row r="632" spans="1:7">
      <c r="A632" s="549"/>
      <c r="B632" s="549"/>
      <c r="C632" s="549"/>
      <c r="D632" s="549"/>
      <c r="E632" s="549"/>
      <c r="F632" s="549"/>
      <c r="G632" s="549"/>
    </row>
    <row r="633" spans="1:7">
      <c r="A633" s="549"/>
      <c r="B633" s="549"/>
      <c r="C633" s="549"/>
      <c r="D633" s="549"/>
      <c r="E633" s="549"/>
      <c r="F633" s="549"/>
      <c r="G633" s="549"/>
    </row>
    <row r="634" spans="1:7">
      <c r="A634" s="549"/>
      <c r="B634" s="549"/>
      <c r="C634" s="549"/>
      <c r="D634" s="549"/>
      <c r="E634" s="549"/>
      <c r="F634" s="549"/>
      <c r="G634" s="549"/>
    </row>
    <row r="635" spans="1:7">
      <c r="A635" s="549"/>
      <c r="B635" s="549"/>
      <c r="C635" s="549"/>
      <c r="D635" s="549"/>
      <c r="E635" s="549"/>
      <c r="F635" s="549"/>
      <c r="G635" s="549"/>
    </row>
    <row r="636" spans="1:7">
      <c r="A636" s="549"/>
      <c r="B636" s="549"/>
      <c r="C636" s="549"/>
      <c r="D636" s="549"/>
      <c r="E636" s="549"/>
      <c r="F636" s="549"/>
      <c r="G636" s="549"/>
    </row>
    <row r="637" spans="1:7">
      <c r="A637" s="549"/>
      <c r="B637" s="549"/>
      <c r="C637" s="549"/>
      <c r="D637" s="549"/>
      <c r="E637" s="549"/>
      <c r="F637" s="549"/>
      <c r="G637" s="549"/>
    </row>
    <row r="638" spans="1:7">
      <c r="A638" s="549"/>
      <c r="B638" s="549"/>
      <c r="C638" s="549"/>
      <c r="D638" s="549"/>
      <c r="E638" s="549"/>
      <c r="F638" s="549"/>
      <c r="G638" s="549"/>
    </row>
    <row r="639" spans="1:7">
      <c r="A639" s="549"/>
      <c r="B639" s="549"/>
      <c r="C639" s="549"/>
      <c r="D639" s="549"/>
      <c r="E639" s="549"/>
      <c r="F639" s="549"/>
      <c r="G639" s="549"/>
    </row>
    <row r="640" spans="1:7">
      <c r="A640" s="549"/>
      <c r="B640" s="549"/>
      <c r="C640" s="549"/>
      <c r="D640" s="549"/>
      <c r="E640" s="549"/>
      <c r="F640" s="549"/>
      <c r="G640" s="549"/>
    </row>
    <row r="641" spans="1:7">
      <c r="A641" s="549"/>
      <c r="B641" s="549"/>
      <c r="C641" s="549"/>
      <c r="D641" s="549"/>
      <c r="E641" s="549"/>
      <c r="F641" s="549"/>
      <c r="G641" s="549"/>
    </row>
    <row r="642" spans="1:7">
      <c r="A642" s="549"/>
      <c r="B642" s="549"/>
      <c r="C642" s="549"/>
      <c r="D642" s="549"/>
      <c r="E642" s="549"/>
      <c r="F642" s="549"/>
      <c r="G642" s="549"/>
    </row>
    <row r="643" spans="1:7">
      <c r="A643" s="549"/>
      <c r="B643" s="549"/>
      <c r="C643" s="549"/>
      <c r="D643" s="549"/>
      <c r="E643" s="549"/>
      <c r="F643" s="549"/>
      <c r="G643" s="549"/>
    </row>
    <row r="644" spans="1:7">
      <c r="A644" s="549"/>
      <c r="B644" s="549"/>
      <c r="C644" s="549"/>
      <c r="D644" s="549"/>
      <c r="E644" s="549"/>
      <c r="F644" s="549"/>
      <c r="G644" s="549"/>
    </row>
    <row r="645" spans="1:7">
      <c r="A645" s="549"/>
      <c r="B645" s="549"/>
      <c r="C645" s="549"/>
      <c r="D645" s="549"/>
      <c r="E645" s="549"/>
      <c r="F645" s="549"/>
      <c r="G645" s="549"/>
    </row>
    <row r="646" spans="1:7">
      <c r="A646" s="549"/>
      <c r="B646" s="549"/>
      <c r="C646" s="549"/>
      <c r="D646" s="549"/>
      <c r="E646" s="549"/>
      <c r="F646" s="549"/>
      <c r="G646" s="549"/>
    </row>
    <row r="647" spans="1:7">
      <c r="A647" s="549"/>
      <c r="B647" s="549"/>
      <c r="C647" s="549"/>
      <c r="D647" s="549"/>
      <c r="E647" s="549"/>
      <c r="F647" s="549"/>
      <c r="G647" s="549"/>
    </row>
    <row r="648" spans="1:7">
      <c r="A648" s="549"/>
      <c r="B648" s="549"/>
      <c r="C648" s="549"/>
      <c r="D648" s="549"/>
      <c r="E648" s="549"/>
      <c r="F648" s="549"/>
      <c r="G648" s="549"/>
    </row>
    <row r="649" spans="1:7">
      <c r="A649" s="549"/>
      <c r="B649" s="549"/>
      <c r="C649" s="549"/>
      <c r="D649" s="549"/>
      <c r="E649" s="549"/>
      <c r="F649" s="549"/>
      <c r="G649" s="549"/>
    </row>
    <row r="650" spans="1:7">
      <c r="A650" s="549"/>
      <c r="B650" s="549"/>
      <c r="C650" s="549"/>
      <c r="D650" s="549"/>
      <c r="E650" s="549"/>
      <c r="F650" s="549"/>
      <c r="G650" s="549"/>
    </row>
    <row r="651" spans="1:7">
      <c r="A651" s="549"/>
      <c r="B651" s="549"/>
      <c r="C651" s="549"/>
      <c r="D651" s="549"/>
      <c r="E651" s="549"/>
      <c r="F651" s="549"/>
      <c r="G651" s="549"/>
    </row>
    <row r="652" spans="1:7">
      <c r="A652" s="549"/>
      <c r="B652" s="549"/>
      <c r="C652" s="549"/>
      <c r="D652" s="549"/>
      <c r="E652" s="549"/>
      <c r="F652" s="549"/>
      <c r="G652" s="549"/>
    </row>
    <row r="653" spans="1:7">
      <c r="A653" s="549"/>
      <c r="B653" s="549"/>
      <c r="C653" s="549"/>
      <c r="D653" s="549"/>
      <c r="E653" s="549"/>
      <c r="F653" s="549"/>
      <c r="G653" s="549"/>
    </row>
    <row r="654" spans="1:7">
      <c r="A654" s="549"/>
      <c r="B654" s="549"/>
      <c r="C654" s="549"/>
      <c r="D654" s="549"/>
      <c r="E654" s="549"/>
      <c r="F654" s="549"/>
      <c r="G654" s="549"/>
    </row>
    <row r="655" spans="1:7">
      <c r="A655" s="549"/>
      <c r="B655" s="549"/>
      <c r="C655" s="549"/>
      <c r="D655" s="549"/>
      <c r="E655" s="549"/>
      <c r="F655" s="549"/>
      <c r="G655" s="549"/>
    </row>
    <row r="656" spans="1:7">
      <c r="A656" s="549"/>
      <c r="B656" s="549"/>
      <c r="C656" s="549"/>
      <c r="D656" s="549"/>
      <c r="E656" s="549"/>
      <c r="F656" s="549"/>
      <c r="G656" s="549"/>
    </row>
    <row r="657" spans="1:7">
      <c r="A657" s="549"/>
      <c r="B657" s="549"/>
      <c r="C657" s="549"/>
      <c r="D657" s="549"/>
      <c r="E657" s="549"/>
      <c r="F657" s="549"/>
      <c r="G657" s="549"/>
    </row>
    <row r="658" spans="1:7">
      <c r="A658" s="549"/>
      <c r="B658" s="549"/>
      <c r="C658" s="549"/>
      <c r="D658" s="549"/>
      <c r="E658" s="549"/>
      <c r="F658" s="549"/>
      <c r="G658" s="549"/>
    </row>
    <row r="659" spans="1:7">
      <c r="A659" s="549"/>
      <c r="B659" s="549"/>
      <c r="C659" s="549"/>
      <c r="D659" s="549"/>
      <c r="E659" s="549"/>
      <c r="F659" s="549"/>
      <c r="G659" s="549"/>
    </row>
    <row r="660" spans="1:7">
      <c r="A660" s="549"/>
      <c r="B660" s="549"/>
      <c r="C660" s="549"/>
      <c r="D660" s="549"/>
      <c r="E660" s="549"/>
      <c r="F660" s="549"/>
      <c r="G660" s="549"/>
    </row>
    <row r="661" spans="1:7">
      <c r="A661" s="549"/>
      <c r="B661" s="549"/>
      <c r="C661" s="549"/>
      <c r="D661" s="549"/>
      <c r="E661" s="549"/>
      <c r="F661" s="549"/>
      <c r="G661" s="549"/>
    </row>
    <row r="662" spans="1:7">
      <c r="A662" s="549"/>
      <c r="B662" s="549"/>
      <c r="C662" s="549"/>
      <c r="D662" s="549"/>
      <c r="E662" s="549"/>
      <c r="F662" s="549"/>
      <c r="G662" s="549"/>
    </row>
    <row r="663" spans="1:7">
      <c r="A663" s="549"/>
      <c r="B663" s="549"/>
      <c r="C663" s="549"/>
      <c r="D663" s="549"/>
      <c r="E663" s="549"/>
      <c r="F663" s="549"/>
      <c r="G663" s="549"/>
    </row>
    <row r="664" spans="1:7">
      <c r="A664" s="549"/>
      <c r="B664" s="549"/>
      <c r="C664" s="549"/>
      <c r="D664" s="549"/>
      <c r="E664" s="549"/>
      <c r="F664" s="549"/>
      <c r="G664" s="549"/>
    </row>
    <row r="665" spans="1:7">
      <c r="A665" s="549"/>
      <c r="B665" s="549"/>
      <c r="C665" s="549"/>
      <c r="D665" s="549"/>
      <c r="E665" s="549"/>
      <c r="F665" s="549"/>
      <c r="G665" s="549"/>
    </row>
    <row r="666" spans="1:7">
      <c r="A666" s="549"/>
      <c r="B666" s="549"/>
      <c r="C666" s="549"/>
      <c r="D666" s="549"/>
      <c r="E666" s="549"/>
      <c r="F666" s="549"/>
      <c r="G666" s="549"/>
    </row>
    <row r="667" spans="1:7">
      <c r="A667" s="549"/>
      <c r="B667" s="549"/>
      <c r="C667" s="549"/>
      <c r="D667" s="549"/>
      <c r="E667" s="549"/>
      <c r="F667" s="549"/>
      <c r="G667" s="549"/>
    </row>
    <row r="668" spans="1:7">
      <c r="A668" s="549"/>
      <c r="B668" s="549"/>
      <c r="C668" s="549"/>
      <c r="D668" s="549"/>
      <c r="E668" s="549"/>
      <c r="F668" s="549"/>
      <c r="G668" s="549"/>
    </row>
    <row r="669" spans="1:7">
      <c r="A669" s="549"/>
      <c r="B669" s="549"/>
      <c r="C669" s="549"/>
      <c r="D669" s="549"/>
      <c r="E669" s="549"/>
      <c r="F669" s="549"/>
      <c r="G669" s="549"/>
    </row>
    <row r="670" spans="1:7">
      <c r="A670" s="549"/>
      <c r="B670" s="549"/>
      <c r="C670" s="549"/>
      <c r="D670" s="549"/>
      <c r="E670" s="549"/>
      <c r="F670" s="549"/>
      <c r="G670" s="549"/>
    </row>
    <row r="671" spans="1:7">
      <c r="A671" s="549"/>
      <c r="B671" s="549"/>
      <c r="C671" s="549"/>
      <c r="D671" s="549"/>
      <c r="E671" s="549"/>
      <c r="F671" s="549"/>
      <c r="G671" s="549"/>
    </row>
    <row r="672" spans="1:7">
      <c r="A672" s="549"/>
      <c r="B672" s="549"/>
      <c r="C672" s="549"/>
      <c r="D672" s="549"/>
      <c r="E672" s="549"/>
      <c r="F672" s="549"/>
      <c r="G672" s="549"/>
    </row>
    <row r="673" spans="1:7">
      <c r="A673" s="549"/>
      <c r="B673" s="549"/>
      <c r="C673" s="549"/>
      <c r="D673" s="549"/>
      <c r="E673" s="549"/>
      <c r="F673" s="549"/>
      <c r="G673" s="549"/>
    </row>
    <row r="674" spans="1:7">
      <c r="A674" s="549"/>
      <c r="B674" s="549"/>
      <c r="C674" s="549"/>
      <c r="D674" s="549"/>
      <c r="E674" s="549"/>
      <c r="F674" s="549"/>
      <c r="G674" s="549"/>
    </row>
    <row r="675" spans="1:7">
      <c r="A675" s="549"/>
      <c r="B675" s="549"/>
      <c r="C675" s="549"/>
      <c r="D675" s="549"/>
      <c r="E675" s="549"/>
      <c r="F675" s="549"/>
      <c r="G675" s="549"/>
    </row>
    <row r="676" spans="1:7">
      <c r="A676" s="549"/>
      <c r="B676" s="549"/>
      <c r="C676" s="549"/>
      <c r="D676" s="549"/>
      <c r="E676" s="549"/>
      <c r="F676" s="549"/>
      <c r="G676" s="549"/>
    </row>
    <row r="677" spans="1:7">
      <c r="A677" s="549"/>
      <c r="B677" s="549"/>
      <c r="C677" s="549"/>
      <c r="D677" s="549"/>
      <c r="E677" s="549"/>
      <c r="F677" s="549"/>
      <c r="G677" s="549"/>
    </row>
    <row r="678" spans="1:7">
      <c r="A678" s="549"/>
      <c r="B678" s="549"/>
      <c r="C678" s="549"/>
      <c r="D678" s="549"/>
      <c r="E678" s="549"/>
      <c r="F678" s="549"/>
      <c r="G678" s="549"/>
    </row>
    <row r="679" spans="1:7">
      <c r="A679" s="549"/>
      <c r="B679" s="549"/>
      <c r="C679" s="549"/>
      <c r="D679" s="549"/>
      <c r="E679" s="549"/>
      <c r="F679" s="549"/>
      <c r="G679" s="549"/>
    </row>
    <row r="680" spans="1:7">
      <c r="A680" s="549"/>
      <c r="B680" s="549"/>
      <c r="C680" s="549"/>
      <c r="D680" s="549"/>
      <c r="E680" s="549"/>
      <c r="F680" s="549"/>
      <c r="G680" s="549"/>
    </row>
    <row r="681" spans="1:7">
      <c r="A681" s="549"/>
      <c r="B681" s="549"/>
      <c r="C681" s="549"/>
      <c r="D681" s="549"/>
      <c r="E681" s="549"/>
      <c r="F681" s="549"/>
      <c r="G681" s="549"/>
    </row>
    <row r="682" spans="1:7">
      <c r="A682" s="549"/>
      <c r="B682" s="549"/>
      <c r="C682" s="549"/>
      <c r="D682" s="549"/>
      <c r="E682" s="549"/>
      <c r="F682" s="549"/>
      <c r="G682" s="549"/>
    </row>
    <row r="683" spans="1:7">
      <c r="A683" s="549"/>
      <c r="B683" s="549"/>
      <c r="C683" s="549"/>
      <c r="D683" s="549"/>
      <c r="E683" s="549"/>
      <c r="F683" s="549"/>
      <c r="G683" s="549"/>
    </row>
    <row r="684" spans="1:7">
      <c r="A684" s="549"/>
      <c r="B684" s="549"/>
      <c r="C684" s="549"/>
      <c r="D684" s="549"/>
      <c r="E684" s="549"/>
      <c r="F684" s="549"/>
      <c r="G684" s="549"/>
    </row>
    <row r="685" spans="1:7">
      <c r="A685" s="549"/>
      <c r="B685" s="549"/>
      <c r="C685" s="549"/>
      <c r="D685" s="549"/>
      <c r="E685" s="549"/>
      <c r="F685" s="549"/>
      <c r="G685" s="549"/>
    </row>
    <row r="686" spans="1:7">
      <c r="A686" s="549"/>
      <c r="B686" s="549"/>
      <c r="C686" s="549"/>
      <c r="D686" s="549"/>
      <c r="E686" s="549"/>
      <c r="F686" s="549"/>
      <c r="G686" s="549"/>
    </row>
    <row r="687" spans="1:7">
      <c r="A687" s="549"/>
      <c r="B687" s="549"/>
      <c r="C687" s="549"/>
      <c r="D687" s="549"/>
      <c r="E687" s="549"/>
      <c r="F687" s="549"/>
      <c r="G687" s="549"/>
    </row>
    <row r="688" spans="1:7">
      <c r="A688" s="549"/>
      <c r="B688" s="549"/>
      <c r="C688" s="549"/>
      <c r="D688" s="549"/>
      <c r="E688" s="549"/>
      <c r="F688" s="549"/>
      <c r="G688" s="549"/>
    </row>
    <row r="689" spans="1:7">
      <c r="A689" s="549"/>
      <c r="B689" s="549"/>
      <c r="C689" s="549"/>
      <c r="D689" s="549"/>
      <c r="E689" s="549"/>
      <c r="F689" s="549"/>
      <c r="G689" s="549"/>
    </row>
    <row r="690" spans="1:7">
      <c r="A690" s="549"/>
      <c r="B690" s="549"/>
      <c r="C690" s="549"/>
      <c r="D690" s="549"/>
      <c r="E690" s="549"/>
      <c r="F690" s="549"/>
      <c r="G690" s="549"/>
    </row>
    <row r="691" spans="1:7">
      <c r="A691" s="549"/>
      <c r="B691" s="549"/>
      <c r="C691" s="549"/>
      <c r="D691" s="549"/>
      <c r="E691" s="549"/>
      <c r="F691" s="549"/>
      <c r="G691" s="549"/>
    </row>
    <row r="692" spans="1:7">
      <c r="A692" s="549"/>
      <c r="B692" s="549"/>
      <c r="C692" s="549"/>
      <c r="D692" s="549"/>
      <c r="E692" s="549"/>
      <c r="F692" s="549"/>
      <c r="G692" s="549"/>
    </row>
    <row r="693" spans="1:7">
      <c r="A693" s="549"/>
      <c r="B693" s="549"/>
      <c r="C693" s="549"/>
      <c r="D693" s="549"/>
      <c r="E693" s="549"/>
      <c r="F693" s="549"/>
      <c r="G693" s="549"/>
    </row>
    <row r="694" spans="1:7">
      <c r="A694" s="549"/>
      <c r="B694" s="549"/>
      <c r="C694" s="549"/>
      <c r="D694" s="549"/>
      <c r="E694" s="549"/>
      <c r="F694" s="549"/>
      <c r="G694" s="549"/>
    </row>
    <row r="695" spans="1:7">
      <c r="A695" s="549"/>
      <c r="B695" s="549"/>
      <c r="C695" s="549"/>
      <c r="D695" s="549"/>
      <c r="E695" s="549"/>
      <c r="F695" s="549"/>
      <c r="G695" s="549"/>
    </row>
    <row r="696" spans="1:7">
      <c r="A696" s="549"/>
      <c r="B696" s="549"/>
      <c r="C696" s="549"/>
      <c r="D696" s="549"/>
      <c r="E696" s="549"/>
      <c r="F696" s="549"/>
      <c r="G696" s="549"/>
    </row>
    <row r="697" spans="1:7">
      <c r="A697" s="549"/>
      <c r="B697" s="549"/>
      <c r="C697" s="549"/>
      <c r="D697" s="549"/>
      <c r="E697" s="549"/>
      <c r="F697" s="549"/>
      <c r="G697" s="549"/>
    </row>
    <row r="698" spans="1:7">
      <c r="A698" s="549"/>
      <c r="B698" s="549"/>
      <c r="C698" s="549"/>
      <c r="D698" s="549"/>
      <c r="E698" s="549"/>
      <c r="F698" s="549"/>
      <c r="G698" s="549"/>
    </row>
    <row r="699" spans="1:7">
      <c r="A699" s="549"/>
      <c r="B699" s="549"/>
      <c r="C699" s="549"/>
      <c r="D699" s="549"/>
      <c r="E699" s="549"/>
      <c r="F699" s="549"/>
      <c r="G699" s="549"/>
    </row>
    <row r="700" spans="1:7">
      <c r="A700" s="549"/>
      <c r="B700" s="549"/>
      <c r="C700" s="549"/>
      <c r="D700" s="549"/>
      <c r="E700" s="549"/>
      <c r="F700" s="549"/>
      <c r="G700" s="549"/>
    </row>
    <row r="701" spans="1:7">
      <c r="A701" s="549"/>
      <c r="B701" s="549"/>
      <c r="C701" s="549"/>
      <c r="D701" s="549"/>
      <c r="E701" s="549"/>
      <c r="F701" s="549"/>
      <c r="G701" s="549"/>
    </row>
    <row r="702" spans="1:7">
      <c r="A702" s="549"/>
      <c r="B702" s="549"/>
      <c r="C702" s="549"/>
      <c r="D702" s="549"/>
      <c r="E702" s="549"/>
      <c r="F702" s="549"/>
      <c r="G702" s="549"/>
    </row>
    <row r="703" spans="1:7">
      <c r="A703" s="549"/>
      <c r="B703" s="549"/>
      <c r="C703" s="549"/>
      <c r="D703" s="549"/>
      <c r="E703" s="549"/>
      <c r="F703" s="549"/>
      <c r="G703" s="549"/>
    </row>
    <row r="704" spans="1:7">
      <c r="A704" s="549"/>
      <c r="B704" s="549"/>
      <c r="C704" s="549"/>
      <c r="D704" s="549"/>
      <c r="E704" s="549"/>
      <c r="F704" s="549"/>
      <c r="G704" s="549"/>
    </row>
    <row r="705" spans="1:7">
      <c r="A705" s="549"/>
      <c r="B705" s="549"/>
      <c r="C705" s="549"/>
      <c r="D705" s="549"/>
      <c r="E705" s="549"/>
      <c r="F705" s="549"/>
      <c r="G705" s="549"/>
    </row>
    <row r="706" spans="1:7">
      <c r="A706" s="549"/>
      <c r="B706" s="549"/>
      <c r="C706" s="549"/>
      <c r="D706" s="549"/>
      <c r="E706" s="549"/>
      <c r="F706" s="549"/>
      <c r="G706" s="549"/>
    </row>
    <row r="707" spans="1:7">
      <c r="A707" s="549"/>
      <c r="B707" s="549"/>
      <c r="C707" s="549"/>
      <c r="D707" s="549"/>
      <c r="E707" s="549"/>
      <c r="F707" s="549"/>
      <c r="G707" s="549"/>
    </row>
    <row r="708" spans="1:7">
      <c r="A708" s="549"/>
      <c r="B708" s="549"/>
      <c r="C708" s="549"/>
      <c r="D708" s="549"/>
      <c r="E708" s="549"/>
      <c r="F708" s="549"/>
      <c r="G708" s="549"/>
    </row>
    <row r="709" spans="1:7">
      <c r="A709" s="549"/>
      <c r="B709" s="549"/>
      <c r="C709" s="549"/>
      <c r="D709" s="549"/>
      <c r="E709" s="549"/>
      <c r="F709" s="549"/>
      <c r="G709" s="549"/>
    </row>
    <row r="710" spans="1:7">
      <c r="A710" s="549"/>
      <c r="B710" s="549"/>
      <c r="C710" s="549"/>
      <c r="D710" s="549"/>
      <c r="E710" s="549"/>
      <c r="F710" s="549"/>
      <c r="G710" s="549"/>
    </row>
    <row r="711" spans="1:7">
      <c r="A711" s="549"/>
      <c r="B711" s="549"/>
      <c r="C711" s="549"/>
      <c r="D711" s="549"/>
      <c r="E711" s="549"/>
      <c r="F711" s="549"/>
      <c r="G711" s="549"/>
    </row>
    <row r="712" spans="1:7">
      <c r="A712" s="549"/>
      <c r="B712" s="549"/>
      <c r="C712" s="549"/>
      <c r="D712" s="549"/>
      <c r="E712" s="549"/>
      <c r="F712" s="549"/>
      <c r="G712" s="549"/>
    </row>
    <row r="713" spans="1:7">
      <c r="A713" s="549"/>
      <c r="B713" s="549"/>
      <c r="C713" s="549"/>
      <c r="D713" s="549"/>
      <c r="E713" s="549"/>
      <c r="F713" s="549"/>
      <c r="G713" s="549"/>
    </row>
    <row r="714" spans="1:7">
      <c r="A714" s="549"/>
      <c r="B714" s="549"/>
      <c r="C714" s="549"/>
      <c r="D714" s="549"/>
      <c r="E714" s="549"/>
      <c r="F714" s="549"/>
      <c r="G714" s="549"/>
    </row>
    <row r="715" spans="1:7">
      <c r="A715" s="549"/>
      <c r="B715" s="549"/>
      <c r="C715" s="549"/>
      <c r="D715" s="549"/>
      <c r="E715" s="549"/>
      <c r="F715" s="549"/>
      <c r="G715" s="549"/>
    </row>
    <row r="716" spans="1:7">
      <c r="A716" s="549"/>
      <c r="B716" s="549"/>
      <c r="C716" s="549"/>
      <c r="D716" s="549"/>
      <c r="E716" s="549"/>
      <c r="F716" s="549"/>
      <c r="G716" s="549"/>
    </row>
    <row r="717" spans="1:7">
      <c r="A717" s="549"/>
      <c r="B717" s="549"/>
      <c r="C717" s="549"/>
      <c r="D717" s="549"/>
      <c r="E717" s="549"/>
      <c r="F717" s="549"/>
      <c r="G717" s="549"/>
    </row>
    <row r="718" spans="1:7">
      <c r="A718" s="549"/>
      <c r="B718" s="549"/>
      <c r="C718" s="549"/>
      <c r="D718" s="549"/>
      <c r="E718" s="549"/>
      <c r="F718" s="549"/>
      <c r="G718" s="549"/>
    </row>
    <row r="719" spans="1:7">
      <c r="A719" s="549"/>
      <c r="B719" s="549"/>
      <c r="C719" s="549"/>
      <c r="D719" s="549"/>
      <c r="E719" s="549"/>
      <c r="F719" s="549"/>
      <c r="G719" s="549"/>
    </row>
    <row r="720" spans="1:7">
      <c r="A720" s="549"/>
      <c r="B720" s="549"/>
      <c r="C720" s="549"/>
      <c r="D720" s="549"/>
      <c r="E720" s="549"/>
      <c r="F720" s="549"/>
      <c r="G720" s="549"/>
    </row>
    <row r="721" spans="1:7">
      <c r="A721" s="549"/>
      <c r="B721" s="549"/>
      <c r="C721" s="549"/>
      <c r="D721" s="549"/>
      <c r="E721" s="549"/>
      <c r="F721" s="549"/>
      <c r="G721" s="549"/>
    </row>
    <row r="722" spans="1:7">
      <c r="A722" s="549"/>
      <c r="B722" s="549"/>
      <c r="C722" s="549"/>
      <c r="D722" s="549"/>
      <c r="E722" s="549"/>
      <c r="F722" s="549"/>
      <c r="G722" s="549"/>
    </row>
    <row r="723" spans="1:7">
      <c r="A723" s="549"/>
      <c r="B723" s="549"/>
      <c r="C723" s="549"/>
      <c r="D723" s="549"/>
      <c r="E723" s="549"/>
      <c r="F723" s="549"/>
      <c r="G723" s="549"/>
    </row>
    <row r="724" spans="1:7">
      <c r="A724" s="549"/>
      <c r="B724" s="549"/>
      <c r="C724" s="549"/>
      <c r="D724" s="549"/>
      <c r="E724" s="549"/>
      <c r="F724" s="549"/>
      <c r="G724" s="549"/>
    </row>
    <row r="725" spans="1:7">
      <c r="A725" s="549"/>
      <c r="B725" s="549"/>
      <c r="C725" s="549"/>
      <c r="D725" s="549"/>
      <c r="E725" s="549"/>
      <c r="F725" s="549"/>
      <c r="G725" s="549"/>
    </row>
    <row r="726" spans="1:7">
      <c r="A726" s="549"/>
      <c r="B726" s="549"/>
      <c r="C726" s="549"/>
      <c r="D726" s="549"/>
      <c r="E726" s="549"/>
      <c r="F726" s="549"/>
      <c r="G726" s="549"/>
    </row>
    <row r="727" spans="1:7">
      <c r="A727" s="549"/>
      <c r="B727" s="549"/>
      <c r="C727" s="549"/>
      <c r="D727" s="549"/>
      <c r="E727" s="549"/>
      <c r="F727" s="549"/>
      <c r="G727" s="549"/>
    </row>
    <row r="728" spans="1:7">
      <c r="A728" s="549"/>
      <c r="B728" s="549"/>
      <c r="C728" s="549"/>
      <c r="D728" s="549"/>
      <c r="E728" s="549"/>
      <c r="F728" s="549"/>
      <c r="G728" s="549"/>
    </row>
    <row r="729" spans="1:7">
      <c r="A729" s="549"/>
      <c r="B729" s="549"/>
      <c r="C729" s="549"/>
      <c r="D729" s="549"/>
      <c r="E729" s="549"/>
      <c r="F729" s="549"/>
      <c r="G729" s="549"/>
    </row>
    <row r="730" spans="1:7">
      <c r="A730" s="549"/>
      <c r="B730" s="549"/>
      <c r="C730" s="549"/>
      <c r="D730" s="549"/>
      <c r="E730" s="549"/>
      <c r="F730" s="549"/>
      <c r="G730" s="549"/>
    </row>
    <row r="731" spans="1:7">
      <c r="A731" s="549"/>
      <c r="B731" s="549"/>
      <c r="C731" s="549"/>
      <c r="D731" s="549"/>
      <c r="E731" s="549"/>
      <c r="F731" s="549"/>
      <c r="G731" s="549"/>
    </row>
    <row r="732" spans="1:7">
      <c r="A732" s="549"/>
      <c r="B732" s="549"/>
      <c r="C732" s="549"/>
      <c r="D732" s="549"/>
      <c r="E732" s="549"/>
      <c r="F732" s="549"/>
      <c r="G732" s="549"/>
    </row>
    <row r="733" spans="1:7">
      <c r="A733" s="549"/>
      <c r="B733" s="549"/>
      <c r="C733" s="549"/>
      <c r="D733" s="549"/>
      <c r="E733" s="549"/>
      <c r="F733" s="549"/>
      <c r="G733" s="549"/>
    </row>
    <row r="734" spans="1:7">
      <c r="A734" s="549"/>
      <c r="B734" s="549"/>
      <c r="C734" s="549"/>
      <c r="D734" s="549"/>
      <c r="E734" s="549"/>
      <c r="F734" s="549"/>
      <c r="G734" s="549"/>
    </row>
    <row r="735" spans="1:7">
      <c r="A735" s="549"/>
      <c r="B735" s="549"/>
      <c r="C735" s="549"/>
      <c r="D735" s="549"/>
      <c r="E735" s="549"/>
      <c r="F735" s="549"/>
      <c r="G735" s="549"/>
    </row>
    <row r="736" spans="1:7">
      <c r="A736" s="549"/>
      <c r="B736" s="549"/>
      <c r="C736" s="549"/>
      <c r="D736" s="549"/>
      <c r="E736" s="549"/>
      <c r="F736" s="549"/>
      <c r="G736" s="549"/>
    </row>
    <row r="737" spans="1:7">
      <c r="A737" s="549"/>
      <c r="B737" s="549"/>
      <c r="C737" s="549"/>
      <c r="D737" s="549"/>
      <c r="E737" s="549"/>
      <c r="F737" s="549"/>
      <c r="G737" s="549"/>
    </row>
    <row r="738" spans="1:7">
      <c r="A738" s="549"/>
      <c r="B738" s="549"/>
      <c r="C738" s="549"/>
      <c r="D738" s="549"/>
      <c r="E738" s="549"/>
      <c r="F738" s="549"/>
      <c r="G738" s="549"/>
    </row>
    <row r="739" spans="1:7">
      <c r="A739" s="549"/>
      <c r="B739" s="549"/>
      <c r="C739" s="549"/>
      <c r="D739" s="549"/>
      <c r="E739" s="549"/>
      <c r="F739" s="549"/>
      <c r="G739" s="549"/>
    </row>
    <row r="740" spans="1:7">
      <c r="A740" s="549"/>
      <c r="B740" s="549"/>
      <c r="C740" s="549"/>
      <c r="D740" s="549"/>
      <c r="E740" s="549"/>
      <c r="F740" s="549"/>
      <c r="G740" s="549"/>
    </row>
    <row r="741" spans="1:7">
      <c r="A741" s="549"/>
      <c r="B741" s="549"/>
      <c r="C741" s="549"/>
      <c r="D741" s="549"/>
      <c r="E741" s="549"/>
      <c r="F741" s="549"/>
      <c r="G741" s="549"/>
    </row>
    <row r="742" spans="1:7">
      <c r="A742" s="549"/>
      <c r="B742" s="549"/>
      <c r="C742" s="549"/>
      <c r="D742" s="549"/>
      <c r="E742" s="549"/>
      <c r="F742" s="549"/>
      <c r="G742" s="549"/>
    </row>
    <row r="743" spans="1:7">
      <c r="A743" s="549"/>
      <c r="B743" s="549"/>
      <c r="C743" s="549"/>
      <c r="D743" s="549"/>
      <c r="E743" s="549"/>
      <c r="F743" s="549"/>
      <c r="G743" s="549"/>
    </row>
    <row r="744" spans="1:7">
      <c r="A744" s="549"/>
      <c r="B744" s="549"/>
      <c r="C744" s="549"/>
      <c r="D744" s="549"/>
      <c r="E744" s="549"/>
      <c r="F744" s="549"/>
      <c r="G744" s="549"/>
    </row>
    <row r="745" spans="1:7">
      <c r="A745" s="549"/>
      <c r="B745" s="549"/>
      <c r="C745" s="549"/>
      <c r="D745" s="549"/>
      <c r="E745" s="549"/>
      <c r="F745" s="549"/>
      <c r="G745" s="549"/>
    </row>
    <row r="746" spans="1:7">
      <c r="A746" s="549"/>
      <c r="B746" s="549"/>
      <c r="C746" s="549"/>
      <c r="D746" s="549"/>
      <c r="E746" s="549"/>
      <c r="F746" s="549"/>
      <c r="G746" s="549"/>
    </row>
    <row r="747" spans="1:7">
      <c r="A747" s="549"/>
      <c r="B747" s="549"/>
      <c r="C747" s="549"/>
      <c r="D747" s="549"/>
      <c r="E747" s="549"/>
      <c r="F747" s="549"/>
      <c r="G747" s="549"/>
    </row>
    <row r="748" spans="1:7">
      <c r="A748" s="549"/>
      <c r="B748" s="549"/>
      <c r="C748" s="549"/>
      <c r="D748" s="549"/>
      <c r="E748" s="549"/>
      <c r="F748" s="549"/>
      <c r="G748" s="549"/>
    </row>
    <row r="749" spans="1:7">
      <c r="A749" s="549"/>
      <c r="B749" s="549"/>
      <c r="C749" s="549"/>
      <c r="D749" s="549"/>
      <c r="E749" s="549"/>
      <c r="F749" s="549"/>
      <c r="G749" s="549"/>
    </row>
    <row r="750" spans="1:7">
      <c r="A750" s="549"/>
      <c r="B750" s="549"/>
      <c r="C750" s="549"/>
      <c r="D750" s="549"/>
      <c r="E750" s="549"/>
      <c r="F750" s="549"/>
      <c r="G750" s="549"/>
    </row>
    <row r="751" spans="1:7">
      <c r="A751" s="549"/>
      <c r="B751" s="549"/>
      <c r="C751" s="549"/>
      <c r="D751" s="549"/>
      <c r="E751" s="549"/>
      <c r="F751" s="549"/>
      <c r="G751" s="549"/>
    </row>
    <row r="752" spans="1:7">
      <c r="A752" s="549"/>
      <c r="B752" s="549"/>
      <c r="C752" s="549"/>
      <c r="D752" s="549"/>
      <c r="E752" s="549"/>
      <c r="F752" s="549"/>
      <c r="G752" s="549"/>
    </row>
    <row r="753" spans="1:7">
      <c r="A753" s="549"/>
      <c r="B753" s="549"/>
      <c r="C753" s="549"/>
      <c r="D753" s="549"/>
      <c r="E753" s="549"/>
      <c r="F753" s="549"/>
      <c r="G753" s="549"/>
    </row>
    <row r="754" spans="1:7">
      <c r="A754" s="549"/>
      <c r="B754" s="549"/>
      <c r="C754" s="549"/>
      <c r="D754" s="549"/>
      <c r="E754" s="549"/>
      <c r="F754" s="549"/>
      <c r="G754" s="549"/>
    </row>
    <row r="755" spans="1:7">
      <c r="A755" s="549"/>
      <c r="B755" s="549"/>
      <c r="C755" s="549"/>
      <c r="D755" s="549"/>
      <c r="E755" s="549"/>
      <c r="F755" s="549"/>
      <c r="G755" s="549"/>
    </row>
    <row r="756" spans="1:7">
      <c r="A756" s="549"/>
      <c r="B756" s="549"/>
      <c r="C756" s="549"/>
      <c r="D756" s="549"/>
      <c r="E756" s="549"/>
      <c r="F756" s="549"/>
      <c r="G756" s="549"/>
    </row>
    <row r="757" spans="1:7">
      <c r="A757" s="549"/>
      <c r="B757" s="549"/>
      <c r="C757" s="549"/>
      <c r="D757" s="549"/>
      <c r="E757" s="549"/>
      <c r="F757" s="549"/>
      <c r="G757" s="549"/>
    </row>
    <row r="758" spans="1:7">
      <c r="A758" s="549"/>
      <c r="B758" s="549"/>
      <c r="C758" s="549"/>
      <c r="D758" s="549"/>
      <c r="E758" s="549"/>
      <c r="F758" s="549"/>
      <c r="G758" s="549"/>
    </row>
    <row r="759" spans="1:7">
      <c r="A759" s="549"/>
      <c r="B759" s="549"/>
      <c r="C759" s="549"/>
      <c r="D759" s="549"/>
      <c r="E759" s="549"/>
      <c r="F759" s="549"/>
      <c r="G759" s="549"/>
    </row>
    <row r="760" spans="1:7">
      <c r="A760" s="549"/>
      <c r="B760" s="549"/>
      <c r="C760" s="549"/>
      <c r="D760" s="549"/>
      <c r="E760" s="549"/>
      <c r="F760" s="549"/>
      <c r="G760" s="549"/>
    </row>
    <row r="761" spans="1:7">
      <c r="A761" s="549"/>
      <c r="B761" s="549"/>
      <c r="C761" s="549"/>
      <c r="D761" s="549"/>
      <c r="E761" s="549"/>
      <c r="F761" s="549"/>
      <c r="G761" s="549"/>
    </row>
    <row r="762" spans="1:7">
      <c r="A762" s="549"/>
      <c r="B762" s="549"/>
      <c r="C762" s="549"/>
      <c r="D762" s="549"/>
      <c r="E762" s="549"/>
      <c r="F762" s="549"/>
      <c r="G762" s="549"/>
    </row>
    <row r="763" spans="1:7">
      <c r="A763" s="549"/>
      <c r="B763" s="549"/>
      <c r="C763" s="549"/>
      <c r="D763" s="549"/>
      <c r="E763" s="549"/>
      <c r="F763" s="549"/>
      <c r="G763" s="549"/>
    </row>
    <row r="764" spans="1:7">
      <c r="A764" s="549"/>
      <c r="B764" s="549"/>
      <c r="C764" s="549"/>
      <c r="D764" s="549"/>
      <c r="E764" s="549"/>
      <c r="F764" s="549"/>
      <c r="G764" s="549"/>
    </row>
    <row r="765" spans="1:7">
      <c r="A765" s="549"/>
      <c r="B765" s="549"/>
      <c r="C765" s="549"/>
      <c r="D765" s="549"/>
      <c r="E765" s="549"/>
      <c r="F765" s="549"/>
      <c r="G765" s="549"/>
    </row>
    <row r="766" spans="1:7">
      <c r="A766" s="549"/>
      <c r="B766" s="549"/>
      <c r="C766" s="549"/>
      <c r="D766" s="549"/>
      <c r="E766" s="549"/>
      <c r="F766" s="549"/>
      <c r="G766" s="549"/>
    </row>
    <row r="767" spans="1:7">
      <c r="A767" s="549"/>
      <c r="B767" s="549"/>
      <c r="C767" s="549"/>
      <c r="D767" s="549"/>
      <c r="E767" s="549"/>
      <c r="F767" s="549"/>
      <c r="G767" s="549"/>
    </row>
    <row r="768" spans="1:7">
      <c r="A768" s="549"/>
      <c r="B768" s="549"/>
      <c r="C768" s="549"/>
      <c r="D768" s="549"/>
      <c r="E768" s="549"/>
      <c r="F768" s="549"/>
      <c r="G768" s="549"/>
    </row>
    <row r="769" spans="1:7">
      <c r="A769" s="549"/>
      <c r="B769" s="549"/>
      <c r="C769" s="549"/>
      <c r="D769" s="549"/>
      <c r="E769" s="549"/>
      <c r="F769" s="549"/>
      <c r="G769" s="549"/>
    </row>
    <row r="770" spans="1:7">
      <c r="A770" s="549"/>
      <c r="B770" s="549"/>
      <c r="C770" s="549"/>
      <c r="D770" s="549"/>
      <c r="E770" s="549"/>
      <c r="F770" s="549"/>
      <c r="G770" s="549"/>
    </row>
    <row r="771" spans="1:7">
      <c r="A771" s="549"/>
      <c r="B771" s="549"/>
      <c r="C771" s="549"/>
      <c r="D771" s="549"/>
      <c r="E771" s="549"/>
      <c r="F771" s="549"/>
      <c r="G771" s="549"/>
    </row>
    <row r="772" spans="1:7">
      <c r="A772" s="549"/>
      <c r="B772" s="549"/>
      <c r="C772" s="549"/>
      <c r="D772" s="549"/>
      <c r="E772" s="549"/>
      <c r="F772" s="549"/>
      <c r="G772" s="549"/>
    </row>
    <row r="773" spans="1:7">
      <c r="A773" s="549"/>
      <c r="B773" s="549"/>
      <c r="C773" s="549"/>
      <c r="D773" s="549"/>
      <c r="E773" s="549"/>
      <c r="F773" s="549"/>
      <c r="G773" s="549"/>
    </row>
    <row r="774" spans="1:7">
      <c r="A774" s="549"/>
      <c r="B774" s="549"/>
      <c r="C774" s="549"/>
      <c r="D774" s="549"/>
      <c r="E774" s="549"/>
      <c r="F774" s="549"/>
      <c r="G774" s="549"/>
    </row>
    <row r="775" spans="1:7">
      <c r="A775" s="549"/>
      <c r="B775" s="549"/>
      <c r="C775" s="549"/>
      <c r="D775" s="549"/>
      <c r="E775" s="549"/>
      <c r="F775" s="549"/>
      <c r="G775" s="549"/>
    </row>
    <row r="776" spans="1:7">
      <c r="A776" s="549"/>
      <c r="B776" s="549"/>
      <c r="C776" s="549"/>
      <c r="D776" s="549"/>
      <c r="E776" s="549"/>
      <c r="F776" s="549"/>
      <c r="G776" s="549"/>
    </row>
    <row r="777" spans="1:7">
      <c r="A777" s="549"/>
      <c r="B777" s="549"/>
      <c r="C777" s="549"/>
      <c r="D777" s="549"/>
      <c r="E777" s="549"/>
      <c r="F777" s="549"/>
      <c r="G777" s="549"/>
    </row>
    <row r="778" spans="1:7">
      <c r="A778" s="549"/>
      <c r="B778" s="549"/>
      <c r="C778" s="549"/>
      <c r="D778" s="549"/>
      <c r="E778" s="549"/>
      <c r="F778" s="549"/>
      <c r="G778" s="549"/>
    </row>
    <row r="779" spans="1:7">
      <c r="A779" s="549"/>
      <c r="B779" s="549"/>
      <c r="C779" s="549"/>
      <c r="D779" s="549"/>
      <c r="E779" s="549"/>
      <c r="F779" s="549"/>
      <c r="G779" s="549"/>
    </row>
    <row r="780" spans="1:7">
      <c r="A780" s="549"/>
      <c r="B780" s="549"/>
      <c r="C780" s="549"/>
      <c r="D780" s="549"/>
      <c r="E780" s="549"/>
      <c r="F780" s="549"/>
      <c r="G780" s="549"/>
    </row>
    <row r="781" spans="1:7">
      <c r="A781" s="549"/>
      <c r="B781" s="549"/>
      <c r="C781" s="549"/>
      <c r="D781" s="549"/>
      <c r="E781" s="549"/>
      <c r="F781" s="549"/>
      <c r="G781" s="549"/>
    </row>
    <row r="782" spans="1:7">
      <c r="A782" s="549"/>
      <c r="B782" s="549"/>
      <c r="C782" s="549"/>
      <c r="D782" s="549"/>
      <c r="E782" s="549"/>
      <c r="F782" s="549"/>
      <c r="G782" s="549"/>
    </row>
    <row r="783" spans="1:7">
      <c r="A783" s="549"/>
      <c r="B783" s="549"/>
      <c r="C783" s="549"/>
      <c r="D783" s="549"/>
      <c r="E783" s="549"/>
      <c r="F783" s="549"/>
      <c r="G783" s="549"/>
    </row>
    <row r="784" spans="1:7">
      <c r="A784" s="549"/>
      <c r="B784" s="549"/>
      <c r="C784" s="549"/>
      <c r="D784" s="549"/>
      <c r="E784" s="549"/>
      <c r="F784" s="549"/>
      <c r="G784" s="549"/>
    </row>
    <row r="785" spans="1:7">
      <c r="A785" s="549"/>
      <c r="B785" s="549"/>
      <c r="C785" s="549"/>
      <c r="D785" s="549"/>
      <c r="E785" s="549"/>
      <c r="F785" s="549"/>
      <c r="G785" s="549"/>
    </row>
    <row r="786" spans="1:7">
      <c r="A786" s="549"/>
      <c r="B786" s="549"/>
      <c r="C786" s="549"/>
      <c r="D786" s="549"/>
      <c r="E786" s="549"/>
      <c r="F786" s="549"/>
      <c r="G786" s="549"/>
    </row>
    <row r="787" spans="1:7">
      <c r="A787" s="549"/>
      <c r="B787" s="549"/>
      <c r="C787" s="549"/>
      <c r="D787" s="549"/>
      <c r="E787" s="549"/>
      <c r="F787" s="549"/>
      <c r="G787" s="549"/>
    </row>
    <row r="788" spans="1:7">
      <c r="A788" s="549"/>
      <c r="B788" s="549"/>
      <c r="C788" s="549"/>
      <c r="D788" s="549"/>
      <c r="E788" s="549"/>
      <c r="F788" s="549"/>
      <c r="G788" s="549"/>
    </row>
    <row r="789" spans="1:7">
      <c r="A789" s="549"/>
      <c r="B789" s="549"/>
      <c r="C789" s="549"/>
      <c r="D789" s="549"/>
      <c r="E789" s="549"/>
      <c r="F789" s="549"/>
      <c r="G789" s="549"/>
    </row>
    <row r="790" spans="1:7">
      <c r="A790" s="549"/>
      <c r="B790" s="549"/>
      <c r="C790" s="549"/>
      <c r="D790" s="549"/>
      <c r="E790" s="549"/>
      <c r="F790" s="549"/>
      <c r="G790" s="549"/>
    </row>
    <row r="791" spans="1:7">
      <c r="A791" s="549"/>
      <c r="B791" s="549"/>
      <c r="C791" s="549"/>
      <c r="D791" s="549"/>
      <c r="E791" s="549"/>
      <c r="F791" s="549"/>
      <c r="G791" s="549"/>
    </row>
    <row r="792" spans="1:7">
      <c r="A792" s="549"/>
      <c r="B792" s="549"/>
      <c r="C792" s="549"/>
      <c r="D792" s="549"/>
      <c r="E792" s="549"/>
      <c r="F792" s="549"/>
      <c r="G792" s="549"/>
    </row>
    <row r="793" spans="1:7">
      <c r="A793" s="549"/>
      <c r="B793" s="549"/>
      <c r="C793" s="549"/>
      <c r="D793" s="549"/>
      <c r="E793" s="549"/>
      <c r="F793" s="549"/>
      <c r="G793" s="549"/>
    </row>
    <row r="794" spans="1:7">
      <c r="A794" s="549"/>
      <c r="B794" s="549"/>
      <c r="C794" s="549"/>
      <c r="D794" s="549"/>
      <c r="E794" s="549"/>
      <c r="F794" s="549"/>
      <c r="G794" s="549"/>
    </row>
    <row r="795" spans="1:7">
      <c r="A795" s="549"/>
      <c r="B795" s="549"/>
      <c r="C795" s="549"/>
      <c r="D795" s="549"/>
      <c r="E795" s="549"/>
      <c r="F795" s="549"/>
      <c r="G795" s="549"/>
    </row>
    <row r="796" spans="1:7">
      <c r="A796" s="549"/>
      <c r="B796" s="549"/>
      <c r="C796" s="549"/>
      <c r="D796" s="549"/>
      <c r="E796" s="549"/>
      <c r="F796" s="549"/>
      <c r="G796" s="549"/>
    </row>
    <row r="797" spans="1:7">
      <c r="A797" s="549"/>
      <c r="B797" s="549"/>
      <c r="C797" s="549"/>
      <c r="D797" s="549"/>
      <c r="E797" s="549"/>
      <c r="F797" s="549"/>
      <c r="G797" s="549"/>
    </row>
    <row r="798" spans="1:7">
      <c r="A798" s="549"/>
      <c r="B798" s="549"/>
      <c r="C798" s="549"/>
      <c r="D798" s="549"/>
      <c r="E798" s="549"/>
      <c r="F798" s="549"/>
      <c r="G798" s="549"/>
    </row>
    <row r="799" spans="1:7">
      <c r="A799" s="549"/>
      <c r="B799" s="549"/>
      <c r="C799" s="549"/>
      <c r="D799" s="549"/>
      <c r="E799" s="549"/>
      <c r="F799" s="549"/>
      <c r="G799" s="549"/>
    </row>
    <row r="800" spans="1:7">
      <c r="A800" s="549"/>
      <c r="B800" s="549"/>
      <c r="C800" s="549"/>
      <c r="D800" s="549"/>
      <c r="E800" s="549"/>
      <c r="F800" s="549"/>
      <c r="G800" s="549"/>
    </row>
    <row r="801" spans="1:7">
      <c r="A801" s="549"/>
      <c r="B801" s="549"/>
      <c r="C801" s="549"/>
      <c r="D801" s="549"/>
      <c r="E801" s="549"/>
      <c r="F801" s="549"/>
      <c r="G801" s="549"/>
    </row>
    <row r="802" spans="1:7">
      <c r="A802" s="549"/>
      <c r="B802" s="549"/>
      <c r="C802" s="549"/>
      <c r="D802" s="549"/>
      <c r="E802" s="549"/>
      <c r="F802" s="549"/>
      <c r="G802" s="549"/>
    </row>
    <row r="803" spans="1:7">
      <c r="A803" s="549"/>
      <c r="B803" s="549"/>
      <c r="C803" s="549"/>
      <c r="D803" s="549"/>
      <c r="E803" s="549"/>
      <c r="F803" s="549"/>
      <c r="G803" s="549"/>
    </row>
    <row r="804" spans="1:7">
      <c r="A804" s="549"/>
      <c r="B804" s="549"/>
      <c r="C804" s="549"/>
      <c r="D804" s="549"/>
      <c r="E804" s="549"/>
      <c r="F804" s="549"/>
      <c r="G804" s="549"/>
    </row>
    <row r="805" spans="1:7">
      <c r="A805" s="549"/>
      <c r="B805" s="549"/>
      <c r="C805" s="549"/>
      <c r="D805" s="549"/>
      <c r="E805" s="549"/>
      <c r="F805" s="549"/>
      <c r="G805" s="549"/>
    </row>
    <row r="806" spans="1:7">
      <c r="A806" s="549"/>
      <c r="B806" s="549"/>
      <c r="C806" s="549"/>
      <c r="D806" s="549"/>
      <c r="E806" s="549"/>
      <c r="F806" s="549"/>
      <c r="G806" s="549"/>
    </row>
    <row r="807" spans="1:7">
      <c r="A807" s="549"/>
      <c r="B807" s="549"/>
      <c r="C807" s="549"/>
      <c r="D807" s="549"/>
      <c r="E807" s="549"/>
      <c r="F807" s="549"/>
      <c r="G807" s="549"/>
    </row>
    <row r="808" spans="1:7">
      <c r="A808" s="549"/>
      <c r="B808" s="549"/>
      <c r="C808" s="549"/>
      <c r="D808" s="549"/>
      <c r="E808" s="549"/>
      <c r="F808" s="549"/>
      <c r="G808" s="549"/>
    </row>
    <row r="809" spans="1:7">
      <c r="A809" s="549"/>
      <c r="B809" s="549"/>
      <c r="C809" s="549"/>
      <c r="D809" s="549"/>
      <c r="E809" s="549"/>
      <c r="F809" s="549"/>
      <c r="G809" s="549"/>
    </row>
    <row r="810" spans="1:7">
      <c r="A810" s="549"/>
      <c r="B810" s="549"/>
      <c r="C810" s="549"/>
      <c r="D810" s="549"/>
      <c r="E810" s="549"/>
      <c r="F810" s="549"/>
      <c r="G810" s="549"/>
    </row>
    <row r="811" spans="1:7">
      <c r="A811" s="549"/>
      <c r="B811" s="549"/>
      <c r="C811" s="549"/>
      <c r="D811" s="549"/>
      <c r="E811" s="549"/>
      <c r="F811" s="549"/>
      <c r="G811" s="549"/>
    </row>
    <row r="812" spans="1:7">
      <c r="A812" s="549"/>
      <c r="B812" s="549"/>
      <c r="C812" s="549"/>
      <c r="D812" s="549"/>
      <c r="E812" s="549"/>
      <c r="F812" s="549"/>
      <c r="G812" s="549"/>
    </row>
    <row r="813" spans="1:7">
      <c r="A813" s="549"/>
      <c r="B813" s="549"/>
      <c r="C813" s="549"/>
      <c r="D813" s="549"/>
      <c r="E813" s="549"/>
      <c r="F813" s="549"/>
      <c r="G813" s="549"/>
    </row>
    <row r="814" spans="1:7">
      <c r="A814" s="549"/>
      <c r="B814" s="549"/>
      <c r="C814" s="549"/>
      <c r="D814" s="549"/>
      <c r="E814" s="549"/>
      <c r="F814" s="549"/>
      <c r="G814" s="549"/>
    </row>
    <row r="815" spans="1:7">
      <c r="A815" s="549"/>
      <c r="B815" s="549"/>
      <c r="C815" s="549"/>
      <c r="D815" s="549"/>
      <c r="E815" s="549"/>
      <c r="F815" s="549"/>
      <c r="G815" s="549"/>
    </row>
    <row r="816" spans="1:7">
      <c r="A816" s="549"/>
      <c r="B816" s="549"/>
      <c r="C816" s="549"/>
      <c r="D816" s="549"/>
      <c r="E816" s="549"/>
      <c r="F816" s="549"/>
      <c r="G816" s="549"/>
    </row>
    <row r="817" spans="1:7">
      <c r="A817" s="549"/>
      <c r="B817" s="549"/>
      <c r="C817" s="549"/>
      <c r="D817" s="549"/>
      <c r="E817" s="549"/>
      <c r="F817" s="549"/>
      <c r="G817" s="549"/>
    </row>
    <row r="818" spans="1:7">
      <c r="A818" s="549"/>
      <c r="B818" s="549"/>
      <c r="C818" s="549"/>
      <c r="D818" s="549"/>
      <c r="E818" s="549"/>
      <c r="F818" s="549"/>
      <c r="G818" s="549"/>
    </row>
    <row r="819" spans="1:7">
      <c r="A819" s="549"/>
      <c r="B819" s="549"/>
      <c r="C819" s="549"/>
      <c r="D819" s="549"/>
      <c r="E819" s="549"/>
      <c r="F819" s="549"/>
      <c r="G819" s="549"/>
    </row>
    <row r="820" spans="1:7">
      <c r="A820" s="549"/>
      <c r="B820" s="549"/>
      <c r="C820" s="549"/>
      <c r="D820" s="549"/>
      <c r="E820" s="549"/>
      <c r="F820" s="549"/>
      <c r="G820" s="549"/>
    </row>
    <row r="821" spans="1:7">
      <c r="A821" s="549"/>
      <c r="B821" s="549"/>
      <c r="C821" s="549"/>
      <c r="D821" s="549"/>
      <c r="E821" s="549"/>
      <c r="F821" s="549"/>
      <c r="G821" s="549"/>
    </row>
    <row r="822" spans="1:7">
      <c r="A822" s="549"/>
      <c r="B822" s="549"/>
      <c r="C822" s="549"/>
      <c r="D822" s="549"/>
      <c r="E822" s="549"/>
      <c r="F822" s="549"/>
      <c r="G822" s="549"/>
    </row>
    <row r="823" spans="1:7">
      <c r="A823" s="549"/>
      <c r="B823" s="549"/>
      <c r="C823" s="549"/>
      <c r="D823" s="549"/>
      <c r="E823" s="549"/>
      <c r="F823" s="549"/>
      <c r="G823" s="549"/>
    </row>
    <row r="824" spans="1:7">
      <c r="A824" s="549"/>
      <c r="B824" s="549"/>
      <c r="C824" s="549"/>
      <c r="D824" s="549"/>
      <c r="E824" s="549"/>
      <c r="F824" s="549"/>
      <c r="G824" s="549"/>
    </row>
    <row r="825" spans="1:7">
      <c r="A825" s="549"/>
      <c r="B825" s="549"/>
      <c r="C825" s="549"/>
      <c r="D825" s="549"/>
      <c r="E825" s="549"/>
      <c r="F825" s="549"/>
      <c r="G825" s="549"/>
    </row>
    <row r="826" spans="1:7">
      <c r="A826" s="549"/>
      <c r="B826" s="549"/>
      <c r="C826" s="549"/>
      <c r="D826" s="549"/>
      <c r="E826" s="549"/>
      <c r="F826" s="549"/>
      <c r="G826" s="549"/>
    </row>
    <row r="827" spans="1:7">
      <c r="A827" s="549"/>
      <c r="B827" s="549"/>
      <c r="C827" s="549"/>
      <c r="D827" s="549"/>
      <c r="E827" s="549"/>
      <c r="F827" s="549"/>
      <c r="G827" s="549"/>
    </row>
    <row r="828" spans="1:7">
      <c r="A828" s="549"/>
      <c r="B828" s="549"/>
      <c r="C828" s="549"/>
      <c r="D828" s="549"/>
      <c r="E828" s="549"/>
      <c r="F828" s="549"/>
      <c r="G828" s="549"/>
    </row>
    <row r="829" spans="1:7">
      <c r="A829" s="549"/>
      <c r="B829" s="549"/>
      <c r="C829" s="549"/>
      <c r="D829" s="549"/>
      <c r="E829" s="549"/>
      <c r="F829" s="549"/>
      <c r="G829" s="549"/>
    </row>
    <row r="830" spans="1:7">
      <c r="A830" s="549"/>
      <c r="B830" s="549"/>
      <c r="C830" s="549"/>
      <c r="D830" s="549"/>
      <c r="E830" s="549"/>
      <c r="F830" s="549"/>
      <c r="G830" s="549"/>
    </row>
    <row r="831" spans="1:7">
      <c r="A831" s="549"/>
      <c r="B831" s="549"/>
      <c r="C831" s="549"/>
      <c r="D831" s="549"/>
      <c r="E831" s="549"/>
      <c r="F831" s="549"/>
      <c r="G831" s="549"/>
    </row>
    <row r="832" spans="1:7">
      <c r="A832" s="549"/>
      <c r="B832" s="549"/>
      <c r="C832" s="549"/>
      <c r="D832" s="549"/>
      <c r="E832" s="549"/>
      <c r="F832" s="549"/>
      <c r="G832" s="549"/>
    </row>
    <row r="833" spans="1:7">
      <c r="A833" s="549"/>
      <c r="B833" s="549"/>
      <c r="C833" s="549"/>
      <c r="D833" s="549"/>
      <c r="E833" s="549"/>
      <c r="F833" s="549"/>
      <c r="G833" s="549"/>
    </row>
    <row r="834" spans="1:7">
      <c r="A834" s="549"/>
      <c r="B834" s="549"/>
      <c r="C834" s="549"/>
      <c r="D834" s="549"/>
      <c r="E834" s="549"/>
      <c r="F834" s="549"/>
      <c r="G834" s="549"/>
    </row>
    <row r="835" spans="1:7">
      <c r="A835" s="549"/>
      <c r="B835" s="549"/>
      <c r="C835" s="549"/>
      <c r="D835" s="549"/>
      <c r="E835" s="549"/>
      <c r="F835" s="549"/>
      <c r="G835" s="549"/>
    </row>
    <row r="836" spans="1:7">
      <c r="A836" s="549"/>
      <c r="B836" s="549"/>
      <c r="C836" s="549"/>
      <c r="D836" s="549"/>
      <c r="E836" s="549"/>
      <c r="F836" s="549"/>
      <c r="G836" s="549"/>
    </row>
    <row r="837" spans="1:7">
      <c r="A837" s="549"/>
      <c r="B837" s="549"/>
      <c r="C837" s="549"/>
      <c r="D837" s="549"/>
      <c r="E837" s="549"/>
      <c r="F837" s="549"/>
      <c r="G837" s="549"/>
    </row>
    <row r="838" spans="1:7">
      <c r="A838" s="549"/>
      <c r="B838" s="549"/>
      <c r="C838" s="549"/>
      <c r="D838" s="549"/>
      <c r="E838" s="549"/>
      <c r="F838" s="549"/>
      <c r="G838" s="549"/>
    </row>
    <row r="839" spans="1:7">
      <c r="A839" s="549"/>
      <c r="B839" s="549"/>
      <c r="C839" s="549"/>
      <c r="D839" s="549"/>
      <c r="E839" s="549"/>
      <c r="F839" s="549"/>
      <c r="G839" s="549"/>
    </row>
    <row r="840" spans="1:7">
      <c r="A840" s="549"/>
      <c r="B840" s="549"/>
      <c r="C840" s="549"/>
      <c r="D840" s="549"/>
      <c r="E840" s="549"/>
      <c r="F840" s="549"/>
      <c r="G840" s="549"/>
    </row>
    <row r="841" spans="1:7">
      <c r="A841" s="549"/>
      <c r="B841" s="549"/>
      <c r="C841" s="549"/>
      <c r="D841" s="549"/>
      <c r="E841" s="549"/>
      <c r="F841" s="549"/>
      <c r="G841" s="549"/>
    </row>
    <row r="842" spans="1:7">
      <c r="A842" s="549"/>
      <c r="B842" s="549"/>
      <c r="C842" s="549"/>
      <c r="D842" s="549"/>
      <c r="E842" s="549"/>
      <c r="F842" s="549"/>
      <c r="G842" s="549"/>
    </row>
    <row r="843" spans="1:7">
      <c r="A843" s="549"/>
      <c r="B843" s="549"/>
      <c r="C843" s="549"/>
      <c r="D843" s="549"/>
      <c r="E843" s="549"/>
      <c r="F843" s="549"/>
      <c r="G843" s="549"/>
    </row>
    <row r="844" spans="1:7">
      <c r="A844" s="549"/>
      <c r="B844" s="549"/>
      <c r="C844" s="549"/>
      <c r="D844" s="549"/>
      <c r="E844" s="549"/>
      <c r="F844" s="549"/>
      <c r="G844" s="549"/>
    </row>
    <row r="845" spans="1:7">
      <c r="A845" s="549"/>
      <c r="B845" s="549"/>
      <c r="C845" s="549"/>
      <c r="D845" s="549"/>
      <c r="E845" s="549"/>
      <c r="F845" s="549"/>
      <c r="G845" s="549"/>
    </row>
    <row r="846" spans="1:7">
      <c r="A846" s="549"/>
      <c r="B846" s="549"/>
      <c r="C846" s="549"/>
      <c r="D846" s="549"/>
      <c r="E846" s="549"/>
      <c r="F846" s="549"/>
      <c r="G846" s="549"/>
    </row>
    <row r="847" spans="1:7">
      <c r="A847" s="549"/>
      <c r="B847" s="549"/>
      <c r="C847" s="549"/>
      <c r="D847" s="549"/>
      <c r="E847" s="549"/>
      <c r="F847" s="549"/>
      <c r="G847" s="549"/>
    </row>
    <row r="848" spans="1:7">
      <c r="A848" s="549"/>
      <c r="B848" s="549"/>
      <c r="C848" s="549"/>
      <c r="D848" s="549"/>
      <c r="E848" s="549"/>
      <c r="F848" s="549"/>
      <c r="G848" s="549"/>
    </row>
    <row r="849" spans="1:7">
      <c r="A849" s="549"/>
      <c r="B849" s="549"/>
      <c r="C849" s="549"/>
      <c r="D849" s="549"/>
      <c r="E849" s="549"/>
      <c r="F849" s="549"/>
      <c r="G849" s="549"/>
    </row>
    <row r="850" spans="1:7">
      <c r="A850" s="549"/>
      <c r="B850" s="549"/>
      <c r="C850" s="549"/>
      <c r="D850" s="549"/>
      <c r="E850" s="549"/>
      <c r="F850" s="549"/>
      <c r="G850" s="549"/>
    </row>
    <row r="851" spans="1:7">
      <c r="A851" s="549"/>
      <c r="B851" s="549"/>
      <c r="C851" s="549"/>
      <c r="D851" s="549"/>
      <c r="E851" s="549"/>
      <c r="F851" s="549"/>
      <c r="G851" s="549"/>
    </row>
    <row r="852" spans="1:7">
      <c r="A852" s="549"/>
      <c r="B852" s="549"/>
      <c r="C852" s="549"/>
      <c r="D852" s="549"/>
      <c r="E852" s="549"/>
      <c r="F852" s="549"/>
      <c r="G852" s="549"/>
    </row>
    <row r="853" spans="1:7">
      <c r="A853" s="549"/>
      <c r="B853" s="549"/>
      <c r="C853" s="549"/>
      <c r="D853" s="549"/>
      <c r="E853" s="549"/>
      <c r="F853" s="549"/>
      <c r="G853" s="549"/>
    </row>
    <row r="854" spans="1:7">
      <c r="A854" s="549"/>
      <c r="B854" s="549"/>
      <c r="C854" s="549"/>
      <c r="D854" s="549"/>
      <c r="E854" s="549"/>
      <c r="F854" s="549"/>
      <c r="G854" s="549"/>
    </row>
    <row r="855" spans="1:7">
      <c r="A855" s="549"/>
      <c r="B855" s="549"/>
      <c r="C855" s="549"/>
      <c r="D855" s="549"/>
      <c r="E855" s="549"/>
      <c r="F855" s="549"/>
      <c r="G855" s="549"/>
    </row>
    <row r="856" spans="1:7">
      <c r="A856" s="549"/>
      <c r="B856" s="549"/>
      <c r="C856" s="549"/>
      <c r="D856" s="549"/>
      <c r="E856" s="549"/>
      <c r="F856" s="549"/>
      <c r="G856" s="549"/>
    </row>
    <row r="857" spans="1:7">
      <c r="A857" s="549"/>
      <c r="B857" s="549"/>
      <c r="C857" s="549"/>
      <c r="D857" s="549"/>
      <c r="E857" s="549"/>
      <c r="F857" s="549"/>
      <c r="G857" s="549"/>
    </row>
    <row r="858" spans="1:7">
      <c r="A858" s="549"/>
      <c r="B858" s="549"/>
      <c r="C858" s="549"/>
      <c r="D858" s="549"/>
      <c r="E858" s="549"/>
      <c r="F858" s="549"/>
      <c r="G858" s="549"/>
    </row>
    <row r="859" spans="1:7">
      <c r="A859" s="549"/>
      <c r="B859" s="549"/>
      <c r="C859" s="549"/>
      <c r="D859" s="549"/>
      <c r="E859" s="549"/>
      <c r="F859" s="549"/>
      <c r="G859" s="549"/>
    </row>
    <row r="860" spans="1:7">
      <c r="A860" s="549"/>
      <c r="B860" s="549"/>
      <c r="C860" s="549"/>
      <c r="D860" s="549"/>
      <c r="E860" s="549"/>
      <c r="F860" s="549"/>
      <c r="G860" s="549"/>
    </row>
    <row r="861" spans="1:7">
      <c r="A861" s="549"/>
      <c r="B861" s="549"/>
      <c r="C861" s="549"/>
      <c r="D861" s="549"/>
      <c r="E861" s="549"/>
      <c r="F861" s="549"/>
      <c r="G861" s="549"/>
    </row>
    <row r="862" spans="1:7">
      <c r="A862" s="549"/>
      <c r="B862" s="549"/>
      <c r="C862" s="549"/>
      <c r="D862" s="549"/>
      <c r="E862" s="549"/>
      <c r="F862" s="549"/>
      <c r="G862" s="549"/>
    </row>
    <row r="863" spans="1:7">
      <c r="A863" s="549"/>
      <c r="B863" s="549"/>
      <c r="C863" s="549"/>
      <c r="D863" s="549"/>
      <c r="E863" s="549"/>
      <c r="F863" s="549"/>
      <c r="G863" s="549"/>
    </row>
    <row r="864" spans="1:7">
      <c r="A864" s="549"/>
      <c r="B864" s="549"/>
      <c r="C864" s="549"/>
      <c r="D864" s="549"/>
      <c r="E864" s="549"/>
      <c r="F864" s="549"/>
      <c r="G864" s="549"/>
    </row>
    <row r="865" spans="1:7">
      <c r="A865" s="549"/>
      <c r="B865" s="549"/>
      <c r="C865" s="549"/>
      <c r="D865" s="549"/>
      <c r="E865" s="549"/>
      <c r="F865" s="549"/>
      <c r="G865" s="549"/>
    </row>
    <row r="866" spans="1:7">
      <c r="A866" s="549"/>
      <c r="B866" s="549"/>
      <c r="C866" s="549"/>
      <c r="D866" s="549"/>
      <c r="E866" s="549"/>
      <c r="F866" s="549"/>
      <c r="G866" s="549"/>
    </row>
    <row r="867" spans="1:7">
      <c r="A867" s="549"/>
      <c r="B867" s="549"/>
      <c r="C867" s="549"/>
      <c r="D867" s="549"/>
      <c r="E867" s="549"/>
      <c r="F867" s="549"/>
      <c r="G867" s="549"/>
    </row>
    <row r="868" spans="1:7">
      <c r="A868" s="549"/>
      <c r="B868" s="549"/>
      <c r="C868" s="549"/>
      <c r="D868" s="549"/>
      <c r="E868" s="549"/>
      <c r="F868" s="549"/>
      <c r="G868" s="549"/>
    </row>
    <row r="869" spans="1:7">
      <c r="A869" s="549"/>
      <c r="B869" s="549"/>
      <c r="C869" s="549"/>
      <c r="D869" s="549"/>
      <c r="E869" s="549"/>
      <c r="F869" s="549"/>
      <c r="G869" s="549"/>
    </row>
    <row r="870" spans="1:7">
      <c r="A870" s="549"/>
      <c r="B870" s="549"/>
      <c r="C870" s="549"/>
      <c r="D870" s="549"/>
      <c r="E870" s="549"/>
      <c r="F870" s="549"/>
      <c r="G870" s="549"/>
    </row>
    <row r="871" spans="1:7">
      <c r="A871" s="549"/>
      <c r="B871" s="549"/>
      <c r="C871" s="549"/>
      <c r="D871" s="549"/>
      <c r="E871" s="549"/>
      <c r="F871" s="549"/>
      <c r="G871" s="549"/>
    </row>
    <row r="872" spans="1:7">
      <c r="A872" s="549"/>
      <c r="B872" s="549"/>
      <c r="C872" s="549"/>
      <c r="D872" s="549"/>
      <c r="E872" s="549"/>
      <c r="F872" s="549"/>
      <c r="G872" s="549"/>
    </row>
    <row r="873" spans="1:7">
      <c r="A873" s="549"/>
      <c r="B873" s="549"/>
      <c r="C873" s="549"/>
      <c r="D873" s="549"/>
      <c r="E873" s="549"/>
      <c r="F873" s="549"/>
      <c r="G873" s="549"/>
    </row>
    <row r="874" spans="1:7">
      <c r="A874" s="549"/>
      <c r="B874" s="549"/>
      <c r="C874" s="549"/>
      <c r="D874" s="549"/>
      <c r="E874" s="549"/>
      <c r="F874" s="549"/>
      <c r="G874" s="549"/>
    </row>
    <row r="875" spans="1:7">
      <c r="A875" s="549"/>
      <c r="B875" s="549"/>
      <c r="C875" s="549"/>
      <c r="D875" s="549"/>
      <c r="E875" s="549"/>
      <c r="F875" s="549"/>
      <c r="G875" s="549"/>
    </row>
    <row r="876" spans="1:7">
      <c r="A876" s="549"/>
      <c r="B876" s="549"/>
      <c r="C876" s="549"/>
      <c r="D876" s="549"/>
      <c r="E876" s="549"/>
      <c r="F876" s="549"/>
      <c r="G876" s="549"/>
    </row>
    <row r="877" spans="1:7">
      <c r="A877" s="549"/>
      <c r="B877" s="549"/>
      <c r="C877" s="549"/>
      <c r="D877" s="549"/>
      <c r="E877" s="549"/>
      <c r="F877" s="549"/>
      <c r="G877" s="549"/>
    </row>
    <row r="878" spans="1:7">
      <c r="A878" s="549"/>
      <c r="B878" s="549"/>
      <c r="C878" s="549"/>
      <c r="D878" s="549"/>
      <c r="E878" s="549"/>
      <c r="F878" s="549"/>
      <c r="G878" s="549"/>
    </row>
    <row r="879" spans="1:7">
      <c r="A879" s="549"/>
      <c r="B879" s="549"/>
      <c r="C879" s="549"/>
      <c r="D879" s="549"/>
      <c r="E879" s="549"/>
      <c r="F879" s="549"/>
      <c r="G879" s="549"/>
    </row>
    <row r="880" spans="1:7">
      <c r="A880" s="549"/>
      <c r="B880" s="549"/>
      <c r="C880" s="549"/>
      <c r="D880" s="549"/>
      <c r="E880" s="549"/>
      <c r="F880" s="549"/>
      <c r="G880" s="549"/>
    </row>
    <row r="881" spans="1:7">
      <c r="A881" s="549"/>
      <c r="B881" s="549"/>
      <c r="C881" s="549"/>
      <c r="D881" s="549"/>
      <c r="E881" s="549"/>
      <c r="F881" s="549"/>
      <c r="G881" s="549"/>
    </row>
    <row r="882" spans="1:7">
      <c r="A882" s="549"/>
      <c r="B882" s="549"/>
      <c r="C882" s="549"/>
      <c r="D882" s="549"/>
      <c r="E882" s="549"/>
      <c r="F882" s="549"/>
      <c r="G882" s="549"/>
    </row>
    <row r="883" spans="1:7">
      <c r="A883" s="549"/>
      <c r="B883" s="549"/>
      <c r="C883" s="549"/>
      <c r="D883" s="549"/>
      <c r="E883" s="549"/>
      <c r="F883" s="549"/>
      <c r="G883" s="549"/>
    </row>
    <row r="884" spans="1:7">
      <c r="A884" s="549"/>
      <c r="B884" s="549"/>
      <c r="C884" s="549"/>
      <c r="D884" s="549"/>
      <c r="E884" s="549"/>
      <c r="F884" s="549"/>
      <c r="G884" s="549"/>
    </row>
    <row r="885" spans="1:7">
      <c r="A885" s="549"/>
      <c r="B885" s="549"/>
      <c r="C885" s="549"/>
      <c r="D885" s="549"/>
      <c r="E885" s="549"/>
      <c r="F885" s="549"/>
      <c r="G885" s="549"/>
    </row>
    <row r="886" spans="1:7">
      <c r="A886" s="549"/>
      <c r="B886" s="549"/>
      <c r="C886" s="549"/>
      <c r="D886" s="549"/>
      <c r="E886" s="549"/>
      <c r="F886" s="549"/>
      <c r="G886" s="549"/>
    </row>
    <row r="887" spans="1:7">
      <c r="A887" s="549"/>
      <c r="B887" s="549"/>
      <c r="C887" s="549"/>
      <c r="D887" s="549"/>
      <c r="E887" s="549"/>
      <c r="F887" s="549"/>
      <c r="G887" s="549"/>
    </row>
    <row r="888" spans="1:7">
      <c r="A888" s="549"/>
      <c r="B888" s="549"/>
      <c r="C888" s="549"/>
      <c r="D888" s="549"/>
      <c r="E888" s="549"/>
      <c r="F888" s="549"/>
      <c r="G888" s="549"/>
    </row>
    <row r="889" spans="1:7">
      <c r="A889" s="549"/>
      <c r="B889" s="549"/>
      <c r="C889" s="549"/>
      <c r="D889" s="549"/>
      <c r="E889" s="549"/>
      <c r="F889" s="549"/>
      <c r="G889" s="549"/>
    </row>
    <row r="890" spans="1:7">
      <c r="A890" s="549"/>
      <c r="B890" s="549"/>
      <c r="C890" s="549"/>
      <c r="D890" s="549"/>
      <c r="E890" s="549"/>
      <c r="F890" s="549"/>
      <c r="G890" s="549"/>
    </row>
    <row r="891" spans="1:7">
      <c r="A891" s="549"/>
      <c r="B891" s="549"/>
      <c r="C891" s="549"/>
      <c r="D891" s="549"/>
      <c r="E891" s="549"/>
      <c r="F891" s="549"/>
      <c r="G891" s="549"/>
    </row>
    <row r="892" spans="1:7">
      <c r="A892" s="549"/>
      <c r="B892" s="549"/>
      <c r="C892" s="549"/>
      <c r="D892" s="549"/>
      <c r="E892" s="549"/>
      <c r="F892" s="549"/>
      <c r="G892" s="549"/>
    </row>
    <row r="893" spans="1:7">
      <c r="A893" s="549"/>
      <c r="B893" s="549"/>
      <c r="C893" s="549"/>
      <c r="D893" s="549"/>
      <c r="E893" s="549"/>
      <c r="F893" s="549"/>
      <c r="G893" s="549"/>
    </row>
    <row r="894" spans="1:7">
      <c r="A894" s="549"/>
      <c r="B894" s="549"/>
      <c r="C894" s="549"/>
      <c r="D894" s="549"/>
      <c r="E894" s="549"/>
      <c r="F894" s="549"/>
      <c r="G894" s="549"/>
    </row>
    <row r="895" spans="1:7">
      <c r="A895" s="549"/>
      <c r="B895" s="549"/>
      <c r="C895" s="549"/>
      <c r="D895" s="549"/>
      <c r="E895" s="549"/>
      <c r="F895" s="549"/>
      <c r="G895" s="549"/>
    </row>
    <row r="896" spans="1:7">
      <c r="A896" s="549"/>
      <c r="B896" s="549"/>
      <c r="C896" s="549"/>
      <c r="D896" s="549"/>
      <c r="E896" s="549"/>
      <c r="F896" s="549"/>
      <c r="G896" s="549"/>
    </row>
    <row r="897" spans="1:7">
      <c r="A897" s="549"/>
      <c r="B897" s="549"/>
      <c r="C897" s="549"/>
      <c r="D897" s="549"/>
      <c r="E897" s="549"/>
      <c r="F897" s="549"/>
      <c r="G897" s="549"/>
    </row>
    <row r="898" spans="1:7">
      <c r="A898" s="549"/>
      <c r="B898" s="549"/>
      <c r="C898" s="549"/>
      <c r="D898" s="549"/>
      <c r="E898" s="549"/>
      <c r="F898" s="549"/>
      <c r="G898" s="549"/>
    </row>
    <row r="899" spans="1:7">
      <c r="A899" s="549"/>
      <c r="B899" s="549"/>
      <c r="C899" s="549"/>
      <c r="D899" s="549"/>
      <c r="E899" s="549"/>
      <c r="F899" s="549"/>
      <c r="G899" s="549"/>
    </row>
    <row r="900" spans="1:7">
      <c r="A900" s="549"/>
      <c r="B900" s="549"/>
      <c r="C900" s="549"/>
      <c r="D900" s="549"/>
      <c r="E900" s="549"/>
      <c r="F900" s="549"/>
      <c r="G900" s="549"/>
    </row>
    <row r="901" spans="1:7">
      <c r="A901" s="549"/>
      <c r="B901" s="549"/>
      <c r="C901" s="549"/>
      <c r="D901" s="549"/>
      <c r="E901" s="549"/>
      <c r="F901" s="549"/>
      <c r="G901" s="549"/>
    </row>
    <row r="902" spans="1:7">
      <c r="A902" s="549"/>
      <c r="B902" s="549"/>
      <c r="C902" s="549"/>
      <c r="D902" s="549"/>
      <c r="E902" s="549"/>
      <c r="F902" s="549"/>
      <c r="G902" s="549"/>
    </row>
    <row r="903" spans="1:7">
      <c r="A903" s="549"/>
      <c r="B903" s="549"/>
      <c r="C903" s="549"/>
      <c r="D903" s="549"/>
      <c r="E903" s="549"/>
      <c r="F903" s="549"/>
      <c r="G903" s="549"/>
    </row>
    <row r="904" spans="1:7">
      <c r="A904" s="549"/>
      <c r="B904" s="549"/>
      <c r="C904" s="549"/>
      <c r="D904" s="549"/>
      <c r="E904" s="549"/>
      <c r="F904" s="549"/>
      <c r="G904" s="549"/>
    </row>
    <row r="905" spans="1:7">
      <c r="A905" s="549"/>
      <c r="B905" s="549"/>
      <c r="C905" s="549"/>
      <c r="D905" s="549"/>
      <c r="E905" s="549"/>
      <c r="F905" s="549"/>
      <c r="G905" s="549"/>
    </row>
    <row r="906" spans="1:7">
      <c r="A906" s="549"/>
      <c r="B906" s="549"/>
      <c r="C906" s="549"/>
      <c r="D906" s="549"/>
      <c r="E906" s="549"/>
      <c r="F906" s="549"/>
      <c r="G906" s="549"/>
    </row>
    <row r="907" spans="1:7">
      <c r="A907" s="549"/>
      <c r="B907" s="549"/>
      <c r="C907" s="549"/>
      <c r="D907" s="549"/>
      <c r="E907" s="549"/>
      <c r="F907" s="549"/>
      <c r="G907" s="549"/>
    </row>
    <row r="908" spans="1:7">
      <c r="A908" s="549"/>
      <c r="B908" s="549"/>
      <c r="C908" s="549"/>
      <c r="D908" s="549"/>
      <c r="E908" s="549"/>
      <c r="F908" s="549"/>
      <c r="G908" s="549"/>
    </row>
    <row r="909" spans="1:7">
      <c r="A909" s="549"/>
      <c r="B909" s="549"/>
      <c r="C909" s="549"/>
      <c r="D909" s="549"/>
      <c r="E909" s="549"/>
      <c r="F909" s="549"/>
      <c r="G909" s="549"/>
    </row>
    <row r="910" spans="1:7">
      <c r="A910" s="549"/>
      <c r="B910" s="549"/>
      <c r="C910" s="549"/>
      <c r="D910" s="549"/>
      <c r="E910" s="549"/>
      <c r="F910" s="549"/>
      <c r="G910" s="549"/>
    </row>
    <row r="911" spans="1:7">
      <c r="A911" s="549"/>
      <c r="B911" s="549"/>
      <c r="C911" s="549"/>
      <c r="D911" s="549"/>
      <c r="E911" s="549"/>
      <c r="F911" s="549"/>
      <c r="G911" s="549"/>
    </row>
    <row r="912" spans="1:7">
      <c r="A912" s="549"/>
      <c r="B912" s="549"/>
      <c r="C912" s="549"/>
      <c r="D912" s="549"/>
      <c r="E912" s="549"/>
      <c r="F912" s="549"/>
      <c r="G912" s="549"/>
    </row>
    <row r="913" spans="1:7">
      <c r="A913" s="549"/>
      <c r="B913" s="549"/>
      <c r="C913" s="549"/>
      <c r="D913" s="549"/>
      <c r="E913" s="549"/>
      <c r="F913" s="549"/>
      <c r="G913" s="549"/>
    </row>
    <row r="914" spans="1:7">
      <c r="A914" s="549"/>
      <c r="B914" s="549"/>
      <c r="C914" s="549"/>
      <c r="D914" s="549"/>
      <c r="E914" s="549"/>
      <c r="F914" s="549"/>
      <c r="G914" s="549"/>
    </row>
    <row r="915" spans="1:7">
      <c r="A915" s="549"/>
      <c r="B915" s="549"/>
      <c r="C915" s="549"/>
      <c r="D915" s="549"/>
      <c r="E915" s="549"/>
      <c r="F915" s="549"/>
      <c r="G915" s="549"/>
    </row>
    <row r="916" spans="1:7">
      <c r="A916" s="549"/>
      <c r="B916" s="549"/>
      <c r="C916" s="549"/>
      <c r="D916" s="549"/>
      <c r="E916" s="549"/>
      <c r="F916" s="549"/>
      <c r="G916" s="549"/>
    </row>
    <row r="917" spans="1:7">
      <c r="A917" s="549"/>
      <c r="B917" s="549"/>
      <c r="C917" s="549"/>
      <c r="D917" s="549"/>
      <c r="E917" s="549"/>
      <c r="F917" s="549"/>
      <c r="G917" s="549"/>
    </row>
    <row r="918" spans="1:7">
      <c r="A918" s="549"/>
      <c r="B918" s="549"/>
      <c r="C918" s="549"/>
      <c r="D918" s="549"/>
      <c r="E918" s="549"/>
      <c r="F918" s="549"/>
      <c r="G918" s="549"/>
    </row>
    <row r="919" spans="1:7">
      <c r="A919" s="549"/>
      <c r="B919" s="549"/>
      <c r="C919" s="549"/>
      <c r="D919" s="549"/>
      <c r="E919" s="549"/>
      <c r="F919" s="549"/>
      <c r="G919" s="549"/>
    </row>
    <row r="920" spans="1:7">
      <c r="A920" s="549"/>
      <c r="B920" s="549"/>
      <c r="C920" s="549"/>
      <c r="D920" s="549"/>
      <c r="E920" s="549"/>
      <c r="F920" s="549"/>
      <c r="G920" s="549"/>
    </row>
    <row r="921" spans="1:7">
      <c r="A921" s="549"/>
      <c r="B921" s="549"/>
      <c r="C921" s="549"/>
      <c r="D921" s="549"/>
      <c r="E921" s="549"/>
      <c r="F921" s="549"/>
      <c r="G921" s="549"/>
    </row>
    <row r="922" spans="1:7">
      <c r="A922" s="549"/>
      <c r="B922" s="549"/>
      <c r="C922" s="549"/>
      <c r="D922" s="549"/>
      <c r="E922" s="549"/>
      <c r="F922" s="549"/>
      <c r="G922" s="549"/>
    </row>
    <row r="923" spans="1:7">
      <c r="A923" s="549"/>
      <c r="B923" s="549"/>
      <c r="C923" s="549"/>
      <c r="D923" s="549"/>
      <c r="E923" s="549"/>
      <c r="F923" s="549"/>
      <c r="G923" s="549"/>
    </row>
    <row r="924" spans="1:7">
      <c r="A924" s="549"/>
      <c r="B924" s="549"/>
      <c r="C924" s="549"/>
      <c r="D924" s="549"/>
      <c r="E924" s="549"/>
      <c r="F924" s="549"/>
      <c r="G924" s="549"/>
    </row>
    <row r="925" spans="1:7">
      <c r="A925" s="549"/>
      <c r="B925" s="549"/>
      <c r="C925" s="549"/>
      <c r="D925" s="549"/>
      <c r="E925" s="549"/>
      <c r="F925" s="549"/>
      <c r="G925" s="549"/>
    </row>
    <row r="926" spans="1:7">
      <c r="A926" s="549"/>
      <c r="B926" s="549"/>
      <c r="C926" s="549"/>
      <c r="D926" s="549"/>
      <c r="E926" s="549"/>
      <c r="F926" s="549"/>
      <c r="G926" s="549"/>
    </row>
    <row r="927" spans="1:7">
      <c r="A927" s="549"/>
      <c r="B927" s="549"/>
      <c r="C927" s="549"/>
      <c r="D927" s="549"/>
      <c r="E927" s="549"/>
      <c r="F927" s="549"/>
      <c r="G927" s="549"/>
    </row>
    <row r="928" spans="1:7">
      <c r="A928" s="549"/>
      <c r="B928" s="549"/>
      <c r="C928" s="549"/>
      <c r="D928" s="549"/>
      <c r="E928" s="549"/>
      <c r="F928" s="549"/>
      <c r="G928" s="549"/>
    </row>
    <row r="929" spans="1:7">
      <c r="A929" s="549"/>
      <c r="B929" s="549"/>
      <c r="C929" s="549"/>
      <c r="D929" s="549"/>
      <c r="E929" s="549"/>
      <c r="F929" s="549"/>
      <c r="G929" s="549"/>
    </row>
    <row r="930" spans="1:7">
      <c r="A930" s="549"/>
      <c r="B930" s="549"/>
      <c r="C930" s="549"/>
      <c r="D930" s="549"/>
      <c r="E930" s="549"/>
      <c r="F930" s="549"/>
      <c r="G930" s="549"/>
    </row>
    <row r="931" spans="1:7">
      <c r="A931" s="549"/>
      <c r="B931" s="549"/>
      <c r="C931" s="549"/>
      <c r="D931" s="549"/>
      <c r="E931" s="549"/>
      <c r="F931" s="549"/>
      <c r="G931" s="549"/>
    </row>
    <row r="932" spans="1:7">
      <c r="A932" s="549"/>
      <c r="B932" s="549"/>
      <c r="C932" s="549"/>
      <c r="D932" s="549"/>
      <c r="E932" s="549"/>
      <c r="F932" s="549"/>
      <c r="G932" s="549"/>
    </row>
    <row r="933" spans="1:7">
      <c r="A933" s="549"/>
      <c r="B933" s="549"/>
      <c r="C933" s="549"/>
      <c r="D933" s="549"/>
      <c r="E933" s="549"/>
      <c r="F933" s="549"/>
      <c r="G933" s="549"/>
    </row>
    <row r="934" spans="1:7">
      <c r="A934" s="549"/>
      <c r="B934" s="549"/>
      <c r="C934" s="549"/>
      <c r="D934" s="549"/>
      <c r="E934" s="549"/>
      <c r="F934" s="549"/>
      <c r="G934" s="549"/>
    </row>
    <row r="935" spans="1:7">
      <c r="A935" s="549"/>
      <c r="B935" s="549"/>
      <c r="C935" s="549"/>
      <c r="D935" s="549"/>
      <c r="E935" s="549"/>
      <c r="F935" s="549"/>
      <c r="G935" s="549"/>
    </row>
    <row r="936" spans="1:7">
      <c r="A936" s="549"/>
      <c r="B936" s="549"/>
      <c r="C936" s="549"/>
      <c r="D936" s="549"/>
      <c r="E936" s="549"/>
      <c r="F936" s="549"/>
      <c r="G936" s="549"/>
    </row>
    <row r="937" spans="1:7">
      <c r="A937" s="549"/>
      <c r="B937" s="549"/>
      <c r="C937" s="549"/>
      <c r="D937" s="549"/>
      <c r="E937" s="549"/>
      <c r="F937" s="549"/>
      <c r="G937" s="549"/>
    </row>
    <row r="938" spans="1:7">
      <c r="A938" s="549"/>
      <c r="B938" s="549"/>
      <c r="C938" s="549"/>
      <c r="D938" s="549"/>
      <c r="E938" s="549"/>
      <c r="F938" s="549"/>
      <c r="G938" s="549"/>
    </row>
    <row r="939" spans="1:7">
      <c r="A939" s="549"/>
      <c r="B939" s="549"/>
      <c r="C939" s="549"/>
      <c r="D939" s="549"/>
      <c r="E939" s="549"/>
      <c r="F939" s="549"/>
      <c r="G939" s="549"/>
    </row>
    <row r="940" spans="1:7">
      <c r="A940" s="549"/>
      <c r="B940" s="549"/>
      <c r="C940" s="549"/>
      <c r="D940" s="549"/>
      <c r="E940" s="549"/>
      <c r="F940" s="549"/>
      <c r="G940" s="549"/>
    </row>
    <row r="941" spans="1:7">
      <c r="A941" s="549"/>
      <c r="B941" s="549"/>
      <c r="C941" s="549"/>
      <c r="D941" s="549"/>
      <c r="E941" s="549"/>
      <c r="F941" s="549"/>
      <c r="G941" s="549"/>
    </row>
    <row r="942" spans="1:7">
      <c r="A942" s="549"/>
      <c r="B942" s="549"/>
      <c r="C942" s="549"/>
      <c r="D942" s="549"/>
      <c r="E942" s="549"/>
      <c r="F942" s="549"/>
      <c r="G942" s="549"/>
    </row>
    <row r="943" spans="1:7">
      <c r="A943" s="549"/>
      <c r="B943" s="549"/>
      <c r="C943" s="549"/>
      <c r="D943" s="549"/>
      <c r="E943" s="549"/>
      <c r="F943" s="549"/>
      <c r="G943" s="549"/>
    </row>
    <row r="944" spans="1:7">
      <c r="A944" s="549"/>
      <c r="B944" s="549"/>
      <c r="C944" s="549"/>
      <c r="D944" s="549"/>
      <c r="E944" s="549"/>
      <c r="F944" s="549"/>
      <c r="G944" s="549"/>
    </row>
    <row r="945" spans="1:7">
      <c r="A945" s="549"/>
      <c r="B945" s="549"/>
      <c r="C945" s="549"/>
      <c r="D945" s="549"/>
      <c r="E945" s="549"/>
      <c r="F945" s="549"/>
      <c r="G945" s="549"/>
    </row>
    <row r="946" spans="1:7">
      <c r="A946" s="549"/>
      <c r="B946" s="549"/>
      <c r="C946" s="549"/>
      <c r="D946" s="549"/>
      <c r="E946" s="549"/>
      <c r="F946" s="549"/>
      <c r="G946" s="549"/>
    </row>
    <row r="947" spans="1:7">
      <c r="A947" s="549"/>
      <c r="B947" s="549"/>
      <c r="C947" s="549"/>
      <c r="D947" s="549"/>
      <c r="E947" s="549"/>
      <c r="F947" s="549"/>
      <c r="G947" s="549"/>
    </row>
    <row r="948" spans="1:7">
      <c r="A948" s="549"/>
      <c r="B948" s="549"/>
      <c r="C948" s="549"/>
      <c r="D948" s="549"/>
      <c r="E948" s="549"/>
      <c r="F948" s="549"/>
      <c r="G948" s="549"/>
    </row>
    <row r="949" spans="1:7">
      <c r="A949" s="549"/>
      <c r="B949" s="549"/>
      <c r="C949" s="549"/>
      <c r="D949" s="549"/>
      <c r="E949" s="549"/>
      <c r="F949" s="549"/>
      <c r="G949" s="549"/>
    </row>
    <row r="950" spans="1:7">
      <c r="A950" s="549"/>
      <c r="B950" s="549"/>
      <c r="C950" s="549"/>
      <c r="D950" s="549"/>
      <c r="E950" s="549"/>
      <c r="F950" s="549"/>
      <c r="G950" s="549"/>
    </row>
    <row r="951" spans="1:7">
      <c r="A951" s="549"/>
      <c r="B951" s="549"/>
      <c r="C951" s="549"/>
      <c r="D951" s="549"/>
      <c r="E951" s="549"/>
      <c r="F951" s="549"/>
      <c r="G951" s="549"/>
    </row>
    <row r="952" spans="1:7">
      <c r="A952" s="549"/>
      <c r="B952" s="549"/>
      <c r="C952" s="549"/>
      <c r="D952" s="549"/>
      <c r="E952" s="549"/>
      <c r="F952" s="549"/>
      <c r="G952" s="549"/>
    </row>
    <row r="953" spans="1:7">
      <c r="A953" s="549"/>
      <c r="B953" s="549"/>
      <c r="C953" s="549"/>
      <c r="D953" s="549"/>
      <c r="E953" s="549"/>
      <c r="F953" s="549"/>
      <c r="G953" s="549"/>
    </row>
    <row r="954" spans="1:7">
      <c r="A954" s="549"/>
      <c r="B954" s="549"/>
      <c r="C954" s="549"/>
      <c r="D954" s="549"/>
      <c r="E954" s="549"/>
      <c r="F954" s="549"/>
      <c r="G954" s="549"/>
    </row>
    <row r="955" spans="1:7">
      <c r="A955" s="549"/>
      <c r="B955" s="549"/>
      <c r="C955" s="549"/>
      <c r="D955" s="549"/>
      <c r="E955" s="549"/>
      <c r="F955" s="549"/>
      <c r="G955" s="549"/>
    </row>
    <row r="956" spans="1:7">
      <c r="A956" s="549"/>
      <c r="B956" s="549"/>
      <c r="C956" s="549"/>
      <c r="D956" s="549"/>
      <c r="E956" s="549"/>
      <c r="F956" s="549"/>
      <c r="G956" s="549"/>
    </row>
    <row r="957" spans="1:7">
      <c r="A957" s="549"/>
      <c r="B957" s="549"/>
      <c r="C957" s="549"/>
      <c r="D957" s="549"/>
      <c r="E957" s="549"/>
      <c r="F957" s="549"/>
      <c r="G957" s="549"/>
    </row>
    <row r="958" spans="1:7">
      <c r="A958" s="549"/>
      <c r="B958" s="549"/>
      <c r="C958" s="549"/>
      <c r="D958" s="549"/>
      <c r="E958" s="549"/>
      <c r="F958" s="549"/>
      <c r="G958" s="549"/>
    </row>
    <row r="959" spans="1:7">
      <c r="A959" s="549"/>
      <c r="B959" s="549"/>
      <c r="C959" s="549"/>
      <c r="D959" s="549"/>
      <c r="E959" s="549"/>
      <c r="F959" s="549"/>
      <c r="G959" s="549"/>
    </row>
    <row r="960" spans="1:7">
      <c r="A960" s="549"/>
      <c r="B960" s="549"/>
      <c r="C960" s="549"/>
      <c r="D960" s="549"/>
      <c r="E960" s="549"/>
      <c r="F960" s="549"/>
      <c r="G960" s="549"/>
    </row>
    <row r="961" spans="1:7">
      <c r="A961" s="549"/>
      <c r="B961" s="549"/>
      <c r="C961" s="549"/>
      <c r="D961" s="549"/>
      <c r="E961" s="549"/>
      <c r="F961" s="549"/>
      <c r="G961" s="549"/>
    </row>
    <row r="962" spans="1:7">
      <c r="A962" s="549"/>
      <c r="B962" s="549"/>
      <c r="C962" s="549"/>
      <c r="D962" s="549"/>
      <c r="E962" s="549"/>
      <c r="F962" s="549"/>
      <c r="G962" s="549"/>
    </row>
    <row r="963" spans="1:7">
      <c r="A963" s="549"/>
      <c r="B963" s="549"/>
      <c r="C963" s="549"/>
      <c r="D963" s="549"/>
      <c r="E963" s="549"/>
      <c r="F963" s="549"/>
      <c r="G963" s="549"/>
    </row>
    <row r="964" spans="1:7">
      <c r="A964" s="549"/>
      <c r="B964" s="549"/>
      <c r="C964" s="549"/>
      <c r="D964" s="549"/>
      <c r="E964" s="549"/>
      <c r="F964" s="549"/>
      <c r="G964" s="549"/>
    </row>
    <row r="965" spans="1:7">
      <c r="A965" s="549"/>
      <c r="B965" s="549"/>
      <c r="C965" s="549"/>
      <c r="D965" s="549"/>
      <c r="E965" s="549"/>
      <c r="F965" s="549"/>
      <c r="G965" s="549"/>
    </row>
    <row r="966" spans="1:7">
      <c r="A966" s="549"/>
      <c r="B966" s="549"/>
      <c r="C966" s="549"/>
      <c r="D966" s="549"/>
      <c r="E966" s="549"/>
      <c r="F966" s="549"/>
      <c r="G966" s="549"/>
    </row>
    <row r="967" spans="1:7">
      <c r="A967" s="549"/>
      <c r="B967" s="549"/>
      <c r="C967" s="549"/>
      <c r="D967" s="549"/>
      <c r="E967" s="549"/>
      <c r="F967" s="549"/>
      <c r="G967" s="549"/>
    </row>
    <row r="968" spans="1:7">
      <c r="A968" s="549"/>
      <c r="B968" s="549"/>
      <c r="C968" s="549"/>
      <c r="D968" s="549"/>
      <c r="E968" s="549"/>
      <c r="F968" s="549"/>
      <c r="G968" s="549"/>
    </row>
    <row r="969" spans="1:7">
      <c r="A969" s="549"/>
      <c r="B969" s="549"/>
      <c r="C969" s="549"/>
      <c r="D969" s="549"/>
      <c r="E969" s="549"/>
      <c r="F969" s="549"/>
      <c r="G969" s="549"/>
    </row>
    <row r="970" spans="1:7">
      <c r="A970" s="549"/>
      <c r="B970" s="549"/>
      <c r="C970" s="549"/>
      <c r="D970" s="549"/>
      <c r="E970" s="549"/>
      <c r="F970" s="549"/>
      <c r="G970" s="549"/>
    </row>
    <row r="971" spans="1:7">
      <c r="A971" s="549"/>
      <c r="B971" s="549"/>
      <c r="C971" s="549"/>
      <c r="D971" s="549"/>
      <c r="E971" s="549"/>
      <c r="F971" s="549"/>
      <c r="G971" s="549"/>
    </row>
    <row r="972" spans="1:7">
      <c r="A972" s="549"/>
      <c r="B972" s="549"/>
      <c r="C972" s="549"/>
      <c r="D972" s="549"/>
      <c r="E972" s="549"/>
      <c r="F972" s="549"/>
      <c r="G972" s="549"/>
    </row>
    <row r="973" spans="1:7">
      <c r="A973" s="549"/>
      <c r="B973" s="549"/>
      <c r="C973" s="549"/>
      <c r="D973" s="549"/>
      <c r="E973" s="549"/>
      <c r="F973" s="549"/>
      <c r="G973" s="549"/>
    </row>
    <row r="974" spans="1:7">
      <c r="A974" s="549"/>
      <c r="B974" s="549"/>
      <c r="C974" s="549"/>
      <c r="D974" s="549"/>
      <c r="E974" s="549"/>
      <c r="F974" s="549"/>
      <c r="G974" s="549"/>
    </row>
    <row r="975" spans="1:7">
      <c r="A975" s="549"/>
      <c r="B975" s="549"/>
      <c r="C975" s="549"/>
      <c r="D975" s="549"/>
      <c r="E975" s="549"/>
      <c r="F975" s="549"/>
      <c r="G975" s="549"/>
    </row>
    <row r="976" spans="1:7">
      <c r="A976" s="549"/>
      <c r="B976" s="549"/>
      <c r="C976" s="549"/>
      <c r="D976" s="549"/>
      <c r="E976" s="549"/>
      <c r="F976" s="549"/>
      <c r="G976" s="549"/>
    </row>
    <row r="977" spans="1:7">
      <c r="A977" s="549"/>
      <c r="B977" s="549"/>
      <c r="C977" s="549"/>
      <c r="D977" s="549"/>
      <c r="E977" s="549"/>
      <c r="F977" s="549"/>
      <c r="G977" s="549"/>
    </row>
    <row r="978" spans="1:7">
      <c r="A978" s="549"/>
      <c r="B978" s="549"/>
      <c r="C978" s="549"/>
      <c r="D978" s="549"/>
      <c r="E978" s="549"/>
      <c r="F978" s="549"/>
      <c r="G978" s="549"/>
    </row>
    <row r="979" spans="1:7">
      <c r="A979" s="549"/>
      <c r="B979" s="549"/>
      <c r="C979" s="549"/>
      <c r="D979" s="549"/>
      <c r="E979" s="549"/>
      <c r="F979" s="549"/>
      <c r="G979" s="549"/>
    </row>
    <row r="980" spans="1:7">
      <c r="A980" s="549"/>
      <c r="B980" s="549"/>
      <c r="C980" s="549"/>
      <c r="D980" s="549"/>
      <c r="E980" s="549"/>
      <c r="F980" s="549"/>
      <c r="G980" s="549"/>
    </row>
    <row r="981" spans="1:7">
      <c r="A981" s="549"/>
      <c r="B981" s="549"/>
      <c r="C981" s="549"/>
      <c r="D981" s="549"/>
      <c r="E981" s="549"/>
      <c r="F981" s="549"/>
      <c r="G981" s="549"/>
    </row>
    <row r="982" spans="1:7">
      <c r="A982" s="549"/>
      <c r="B982" s="549"/>
      <c r="C982" s="549"/>
      <c r="D982" s="549"/>
      <c r="E982" s="549"/>
      <c r="F982" s="549"/>
      <c r="G982" s="549"/>
    </row>
    <row r="983" spans="1:7">
      <c r="A983" s="549"/>
      <c r="B983" s="549"/>
      <c r="C983" s="549"/>
      <c r="D983" s="549"/>
      <c r="E983" s="549"/>
      <c r="F983" s="549"/>
      <c r="G983" s="549"/>
    </row>
    <row r="984" spans="1:7">
      <c r="A984" s="549"/>
      <c r="B984" s="549"/>
      <c r="C984" s="549"/>
      <c r="D984" s="549"/>
      <c r="E984" s="549"/>
      <c r="F984" s="549"/>
      <c r="G984" s="549"/>
    </row>
    <row r="985" spans="1:7">
      <c r="A985" s="549"/>
      <c r="B985" s="549"/>
      <c r="C985" s="549"/>
      <c r="D985" s="549"/>
      <c r="E985" s="549"/>
      <c r="F985" s="549"/>
      <c r="G985" s="549"/>
    </row>
    <row r="986" spans="1:7">
      <c r="A986" s="549"/>
      <c r="B986" s="549"/>
      <c r="C986" s="549"/>
      <c r="D986" s="549"/>
      <c r="E986" s="549"/>
      <c r="F986" s="549"/>
      <c r="G986" s="549"/>
    </row>
    <row r="987" spans="1:7">
      <c r="A987" s="549"/>
      <c r="B987" s="549"/>
      <c r="C987" s="549"/>
      <c r="D987" s="549"/>
      <c r="E987" s="549"/>
      <c r="F987" s="549"/>
      <c r="G987" s="549"/>
    </row>
    <row r="988" spans="1:7">
      <c r="A988" s="549"/>
      <c r="B988" s="549"/>
      <c r="C988" s="549"/>
      <c r="D988" s="549"/>
      <c r="E988" s="549"/>
      <c r="F988" s="549"/>
      <c r="G988" s="549"/>
    </row>
    <row r="989" spans="1:7">
      <c r="A989" s="549"/>
      <c r="B989" s="549"/>
      <c r="C989" s="549"/>
      <c r="D989" s="549"/>
      <c r="E989" s="549"/>
      <c r="F989" s="549"/>
      <c r="G989" s="549"/>
    </row>
    <row r="990" spans="1:7">
      <c r="A990" s="549"/>
      <c r="B990" s="549"/>
      <c r="C990" s="549"/>
      <c r="D990" s="549"/>
      <c r="E990" s="549"/>
      <c r="F990" s="549"/>
      <c r="G990" s="549"/>
    </row>
    <row r="991" spans="1:7">
      <c r="A991" s="549"/>
      <c r="B991" s="549"/>
      <c r="C991" s="549"/>
      <c r="D991" s="549"/>
      <c r="E991" s="549"/>
      <c r="F991" s="549"/>
      <c r="G991" s="549"/>
    </row>
    <row r="992" spans="1:7">
      <c r="A992" s="549"/>
      <c r="B992" s="549"/>
      <c r="C992" s="549"/>
      <c r="D992" s="549"/>
      <c r="E992" s="549"/>
      <c r="F992" s="549"/>
      <c r="G992" s="549"/>
    </row>
    <row r="993" spans="1:7">
      <c r="A993" s="549"/>
      <c r="B993" s="549"/>
      <c r="C993" s="549"/>
      <c r="D993" s="549"/>
      <c r="E993" s="549"/>
      <c r="F993" s="549"/>
      <c r="G993" s="549"/>
    </row>
    <row r="994" spans="1:7">
      <c r="A994" s="549"/>
      <c r="B994" s="549"/>
      <c r="C994" s="549"/>
      <c r="D994" s="549"/>
      <c r="E994" s="549"/>
      <c r="F994" s="549"/>
      <c r="G994" s="549"/>
    </row>
    <row r="995" spans="1:7">
      <c r="A995" s="549"/>
      <c r="B995" s="549"/>
      <c r="C995" s="549"/>
      <c r="D995" s="549"/>
      <c r="E995" s="549"/>
      <c r="F995" s="549"/>
      <c r="G995" s="549"/>
    </row>
    <row r="996" spans="1:7">
      <c r="A996" s="549"/>
      <c r="B996" s="549"/>
      <c r="C996" s="549"/>
      <c r="D996" s="549"/>
      <c r="E996" s="549"/>
      <c r="F996" s="549"/>
      <c r="G996" s="549"/>
    </row>
    <row r="997" spans="1:7">
      <c r="A997" s="549"/>
      <c r="B997" s="549"/>
      <c r="C997" s="549"/>
      <c r="D997" s="549"/>
      <c r="E997" s="549"/>
      <c r="F997" s="549"/>
      <c r="G997" s="549"/>
    </row>
  </sheetData>
  <pageMargins left="0.7" right="0.7" top="0.78740157499999996" bottom="0.78740157499999996" header="0.3" footer="0.3"/>
  <pageSetup paperSize="9" scale="8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1"/>
  <sheetViews>
    <sheetView zoomScale="120" zoomScaleNormal="120" workbookViewId="0">
      <selection activeCell="E33" sqref="E33"/>
    </sheetView>
  </sheetViews>
  <sheetFormatPr defaultColWidth="8.7109375" defaultRowHeight="15"/>
  <cols>
    <col min="1" max="1" width="5.28515625" customWidth="1"/>
    <col min="2" max="2" width="44.7109375" bestFit="1" customWidth="1"/>
    <col min="3" max="3" width="7.140625" customWidth="1"/>
    <col min="4" max="4" width="18" bestFit="1" customWidth="1"/>
    <col min="5" max="5" width="64.7109375" customWidth="1"/>
    <col min="6" max="6" width="17.7109375" bestFit="1" customWidth="1"/>
    <col min="7" max="7" width="20.42578125" bestFit="1" customWidth="1"/>
  </cols>
  <sheetData>
    <row r="1" spans="1:7">
      <c r="A1" s="472" t="s">
        <v>2</v>
      </c>
      <c r="B1" s="472" t="s">
        <v>3</v>
      </c>
      <c r="C1" s="472" t="s">
        <v>4</v>
      </c>
      <c r="D1" s="472" t="s">
        <v>5</v>
      </c>
      <c r="E1" s="473" t="s">
        <v>536</v>
      </c>
    </row>
    <row r="2" spans="1:7">
      <c r="A2" s="474" t="s">
        <v>6</v>
      </c>
      <c r="B2" s="474" t="s">
        <v>7</v>
      </c>
      <c r="C2" s="474"/>
      <c r="D2" s="476">
        <f>SUM('[11]101111_OV podrobně'!D3:D3)</f>
        <v>0</v>
      </c>
      <c r="E2" s="477"/>
      <c r="F2" s="478"/>
      <c r="G2" s="478"/>
    </row>
    <row r="3" spans="1:7">
      <c r="A3" s="481" t="s">
        <v>8</v>
      </c>
      <c r="B3" s="481" t="s">
        <v>9</v>
      </c>
      <c r="C3" s="481"/>
      <c r="D3" s="482"/>
      <c r="E3" s="483"/>
      <c r="F3" s="478"/>
      <c r="G3" s="478"/>
    </row>
    <row r="4" spans="1:7">
      <c r="A4" s="481" t="s">
        <v>10</v>
      </c>
      <c r="B4" s="481" t="s">
        <v>11</v>
      </c>
      <c r="C4" s="481"/>
      <c r="D4" s="482"/>
      <c r="E4" s="483"/>
      <c r="F4" s="478"/>
      <c r="G4" s="478"/>
    </row>
    <row r="5" spans="1:7">
      <c r="A5" s="481" t="s">
        <v>12</v>
      </c>
      <c r="B5" s="481" t="s">
        <v>13</v>
      </c>
      <c r="C5" s="481"/>
      <c r="D5" s="482">
        <f>SUM('[11]101111_OV podrobně'!D7:D7)</f>
        <v>0</v>
      </c>
      <c r="E5" s="483"/>
      <c r="F5" s="478"/>
      <c r="G5" s="478"/>
    </row>
    <row r="6" spans="1:7">
      <c r="A6" s="481" t="s">
        <v>14</v>
      </c>
      <c r="B6" s="481" t="s">
        <v>15</v>
      </c>
      <c r="C6" s="481"/>
      <c r="D6" s="482">
        <f>SUM('[11]101111_OV podrobně'!D9:D10)</f>
        <v>4800</v>
      </c>
      <c r="E6" s="483"/>
      <c r="F6" s="478"/>
      <c r="G6" s="478"/>
    </row>
    <row r="7" spans="1:7">
      <c r="A7" s="481" t="s">
        <v>16</v>
      </c>
      <c r="B7" s="481" t="s">
        <v>17</v>
      </c>
      <c r="C7" s="481"/>
      <c r="D7" s="482">
        <f>SUM('[11]101111_OV podrobně'!D12:D17)</f>
        <v>313500</v>
      </c>
      <c r="E7" s="483"/>
      <c r="F7" s="478"/>
      <c r="G7" s="478"/>
    </row>
    <row r="8" spans="1:7">
      <c r="A8" s="481" t="s">
        <v>18</v>
      </c>
      <c r="B8" s="481" t="s">
        <v>19</v>
      </c>
      <c r="C8" s="481"/>
      <c r="D8" s="482">
        <f>SUM('[11]101111_OV podrobně'!D19:D20)</f>
        <v>63000</v>
      </c>
      <c r="E8" s="572" t="s">
        <v>604</v>
      </c>
      <c r="F8" s="478"/>
      <c r="G8" s="478"/>
    </row>
    <row r="9" spans="1:7">
      <c r="A9" s="479">
        <v>521</v>
      </c>
      <c r="B9" s="481" t="s">
        <v>20</v>
      </c>
      <c r="C9" s="481"/>
      <c r="D9" s="482">
        <f>SUM('[11]101111_OV podrobně'!D22:D24)</f>
        <v>50000</v>
      </c>
      <c r="E9" s="572" t="s">
        <v>605</v>
      </c>
      <c r="F9" s="478"/>
      <c r="G9" s="478"/>
    </row>
    <row r="10" spans="1:7">
      <c r="A10" s="479">
        <v>521</v>
      </c>
      <c r="B10" s="481" t="s">
        <v>21</v>
      </c>
      <c r="C10" s="481"/>
      <c r="D10" s="482">
        <f>SUM('[11]101111_OV podrobně'!D25)</f>
        <v>0</v>
      </c>
      <c r="E10" s="483"/>
      <c r="F10" s="478"/>
      <c r="G10" s="478"/>
    </row>
    <row r="11" spans="1:7">
      <c r="A11" s="481" t="s">
        <v>22</v>
      </c>
      <c r="B11" s="481" t="s">
        <v>23</v>
      </c>
      <c r="C11" s="484"/>
      <c r="D11" s="482">
        <f>SUM('[11]101111_OV podrobně'!D26)</f>
        <v>21420</v>
      </c>
      <c r="E11" s="483"/>
      <c r="F11" s="478"/>
      <c r="G11" s="478"/>
    </row>
    <row r="12" spans="1:7">
      <c r="A12" s="481" t="s">
        <v>24</v>
      </c>
      <c r="B12" s="481" t="s">
        <v>25</v>
      </c>
      <c r="C12" s="484"/>
      <c r="D12" s="482"/>
      <c r="E12" s="483"/>
      <c r="F12" s="478"/>
      <c r="G12" s="478"/>
    </row>
    <row r="13" spans="1:7">
      <c r="A13" s="481" t="s">
        <v>26</v>
      </c>
      <c r="B13" s="481" t="s">
        <v>27</v>
      </c>
      <c r="C13" s="485">
        <v>1.4999999999999999E-2</v>
      </c>
      <c r="D13" s="482">
        <f>D8*C13</f>
        <v>945</v>
      </c>
      <c r="E13" s="483"/>
      <c r="F13" s="478"/>
      <c r="G13" s="478"/>
    </row>
    <row r="14" spans="1:7">
      <c r="A14" s="481" t="s">
        <v>28</v>
      </c>
      <c r="B14" s="481" t="s">
        <v>29</v>
      </c>
      <c r="C14" s="481"/>
      <c r="D14" s="482"/>
      <c r="E14" s="483"/>
      <c r="F14" s="478"/>
      <c r="G14" s="478"/>
    </row>
    <row r="15" spans="1:7">
      <c r="A15" s="481" t="s">
        <v>30</v>
      </c>
      <c r="B15" s="481" t="s">
        <v>31</v>
      </c>
      <c r="C15" s="481"/>
      <c r="D15" s="482"/>
      <c r="E15" s="483"/>
      <c r="F15" s="478"/>
      <c r="G15" s="478"/>
    </row>
    <row r="16" spans="1:7">
      <c r="A16" s="481" t="s">
        <v>32</v>
      </c>
      <c r="B16" s="481" t="s">
        <v>33</v>
      </c>
      <c r="C16" s="481"/>
      <c r="D16" s="482">
        <f>SUM('[11]101111_OV podrobně'!D31)</f>
        <v>10000</v>
      </c>
      <c r="E16" s="573" t="s">
        <v>606</v>
      </c>
      <c r="F16" s="478"/>
      <c r="G16" s="478"/>
    </row>
    <row r="17" spans="1:7" ht="15.75" thickBot="1">
      <c r="A17" s="495" t="s">
        <v>34</v>
      </c>
      <c r="B17" s="481" t="s">
        <v>35</v>
      </c>
      <c r="C17" s="481"/>
      <c r="D17" s="482"/>
      <c r="E17" s="486"/>
      <c r="F17" s="478"/>
      <c r="G17" s="478"/>
    </row>
    <row r="18" spans="1:7">
      <c r="B18" s="487" t="s">
        <v>36</v>
      </c>
      <c r="C18" s="488"/>
      <c r="D18" s="489">
        <f>SUM(D2:D17)</f>
        <v>463665</v>
      </c>
    </row>
    <row r="19" spans="1:7" ht="15.75" thickBot="1">
      <c r="B19" s="496" t="s">
        <v>37</v>
      </c>
      <c r="C19" s="497"/>
      <c r="D19" s="553">
        <f>D14+D15+D17</f>
        <v>0</v>
      </c>
    </row>
    <row r="21" spans="1:7">
      <c r="B21" t="s">
        <v>881</v>
      </c>
    </row>
    <row r="23" spans="1:7">
      <c r="B23" s="571" t="s">
        <v>585</v>
      </c>
    </row>
    <row r="24" spans="1:7" ht="31.5">
      <c r="A24" s="584">
        <v>513</v>
      </c>
      <c r="B24" s="574" t="s">
        <v>596</v>
      </c>
      <c r="C24" s="583"/>
      <c r="D24" s="576">
        <v>4500</v>
      </c>
    </row>
    <row r="25" spans="1:7">
      <c r="A25" s="585"/>
      <c r="B25" s="577" t="s">
        <v>597</v>
      </c>
      <c r="C25" s="583"/>
      <c r="D25" s="577">
        <v>300</v>
      </c>
    </row>
    <row r="26" spans="1:7">
      <c r="A26" s="585">
        <v>518</v>
      </c>
      <c r="B26" s="578" t="s">
        <v>598</v>
      </c>
      <c r="C26" s="583"/>
      <c r="D26" s="579">
        <v>4000</v>
      </c>
    </row>
    <row r="27" spans="1:7">
      <c r="A27" s="585"/>
      <c r="B27" s="580" t="s">
        <v>599</v>
      </c>
      <c r="C27" s="583"/>
      <c r="D27" s="579">
        <v>60000</v>
      </c>
    </row>
    <row r="28" spans="1:7">
      <c r="A28" s="585"/>
      <c r="B28" s="580" t="s">
        <v>600</v>
      </c>
      <c r="C28" s="583"/>
      <c r="D28" s="579">
        <v>15000</v>
      </c>
    </row>
    <row r="29" spans="1:7">
      <c r="A29" s="585"/>
      <c r="B29" s="578" t="s">
        <v>601</v>
      </c>
      <c r="C29" s="583"/>
      <c r="D29" s="579">
        <v>20000</v>
      </c>
    </row>
    <row r="30" spans="1:7" ht="21">
      <c r="A30" s="585"/>
      <c r="B30" s="581" t="s">
        <v>602</v>
      </c>
      <c r="C30" s="583"/>
      <c r="D30" s="579">
        <v>94500</v>
      </c>
    </row>
    <row r="31" spans="1:7" ht="31.5">
      <c r="A31" s="585"/>
      <c r="B31" s="582" t="s">
        <v>603</v>
      </c>
      <c r="C31" s="583"/>
      <c r="D31" s="577">
        <v>120000</v>
      </c>
    </row>
  </sheetData>
  <pageMargins left="0.7" right="0.7" top="0.78740157499999996" bottom="0.78740157499999996" header="0.3" footer="0.3"/>
  <pageSetup paperSize="9" scale="9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96"/>
  <sheetViews>
    <sheetView workbookViewId="0">
      <selection activeCell="B17" sqref="B17"/>
    </sheetView>
  </sheetViews>
  <sheetFormatPr defaultColWidth="15.140625" defaultRowHeight="15" customHeight="1"/>
  <cols>
    <col min="1" max="1" width="4.7109375" style="502" customWidth="1"/>
    <col min="2" max="2" width="39.28515625" style="502" customWidth="1"/>
    <col min="3" max="3" width="6.28515625" style="502" customWidth="1"/>
    <col min="4" max="4" width="15.7109375" style="502" customWidth="1"/>
    <col min="5" max="5" width="16.7109375" style="502" customWidth="1"/>
    <col min="6" max="6" width="15.42578125" style="502" customWidth="1"/>
    <col min="7" max="7" width="17.7109375" style="502" customWidth="1"/>
    <col min="8" max="26" width="7.7109375" style="502" customWidth="1"/>
    <col min="27" max="16384" width="15.140625" style="502"/>
  </cols>
  <sheetData>
    <row r="1" spans="1:7">
      <c r="A1" s="500" t="s">
        <v>2</v>
      </c>
      <c r="B1" s="500" t="s">
        <v>3</v>
      </c>
      <c r="C1" s="500" t="s">
        <v>4</v>
      </c>
      <c r="D1" s="500" t="s">
        <v>5</v>
      </c>
      <c r="E1" s="501" t="s">
        <v>536</v>
      </c>
      <c r="F1" s="549"/>
      <c r="G1" s="549"/>
    </row>
    <row r="2" spans="1:7">
      <c r="A2" s="504" t="s">
        <v>6</v>
      </c>
      <c r="B2" s="504" t="s">
        <v>7</v>
      </c>
      <c r="C2" s="504"/>
      <c r="D2" s="505">
        <v>355000</v>
      </c>
      <c r="E2" s="506"/>
      <c r="F2" s="507"/>
      <c r="G2" s="549"/>
    </row>
    <row r="3" spans="1:7">
      <c r="A3" s="511" t="s">
        <v>8</v>
      </c>
      <c r="B3" s="511" t="s">
        <v>9</v>
      </c>
      <c r="C3" s="511"/>
      <c r="D3" s="514"/>
      <c r="E3" s="513"/>
      <c r="F3" s="507"/>
      <c r="G3" s="549"/>
    </row>
    <row r="4" spans="1:7">
      <c r="A4" s="511" t="s">
        <v>10</v>
      </c>
      <c r="B4" s="511" t="s">
        <v>11</v>
      </c>
      <c r="C4" s="511"/>
      <c r="D4" s="514"/>
      <c r="E4" s="513"/>
      <c r="F4" s="507"/>
      <c r="G4" s="549"/>
    </row>
    <row r="5" spans="1:7">
      <c r="A5" s="511" t="s">
        <v>12</v>
      </c>
      <c r="B5" s="511" t="s">
        <v>13</v>
      </c>
      <c r="C5" s="511"/>
      <c r="D5" s="514"/>
      <c r="E5" s="513"/>
      <c r="F5" s="507"/>
      <c r="G5" s="549"/>
    </row>
    <row r="6" spans="1:7">
      <c r="A6" s="511" t="s">
        <v>14</v>
      </c>
      <c r="B6" s="511" t="s">
        <v>15</v>
      </c>
      <c r="C6" s="511"/>
      <c r="D6" s="514"/>
      <c r="E6" s="513"/>
      <c r="F6" s="507"/>
      <c r="G6" s="549"/>
    </row>
    <row r="7" spans="1:7">
      <c r="A7" s="511" t="s">
        <v>16</v>
      </c>
      <c r="B7" s="511" t="s">
        <v>576</v>
      </c>
      <c r="C7" s="511"/>
      <c r="D7" s="514">
        <v>216720</v>
      </c>
      <c r="E7" s="513"/>
      <c r="F7" s="507"/>
      <c r="G7" s="549"/>
    </row>
    <row r="8" spans="1:7">
      <c r="A8" s="511" t="s">
        <v>18</v>
      </c>
      <c r="B8" s="511" t="s">
        <v>19</v>
      </c>
      <c r="C8" s="511"/>
      <c r="D8" s="514">
        <v>0</v>
      </c>
      <c r="E8" s="513"/>
      <c r="F8" s="507"/>
      <c r="G8" s="549"/>
    </row>
    <row r="9" spans="1:7">
      <c r="A9" s="516">
        <v>521</v>
      </c>
      <c r="B9" s="511" t="s">
        <v>20</v>
      </c>
      <c r="C9" s="511"/>
      <c r="D9" s="514">
        <v>0</v>
      </c>
      <c r="E9" s="513"/>
      <c r="F9" s="507"/>
      <c r="G9" s="549"/>
    </row>
    <row r="10" spans="1:7">
      <c r="A10" s="516">
        <v>521</v>
      </c>
      <c r="B10" s="511" t="s">
        <v>21</v>
      </c>
      <c r="C10" s="511"/>
      <c r="D10" s="514"/>
      <c r="E10" s="513"/>
      <c r="F10" s="507"/>
      <c r="G10" s="549"/>
    </row>
    <row r="11" spans="1:7">
      <c r="A11" s="511" t="s">
        <v>22</v>
      </c>
      <c r="B11" s="511" t="s">
        <v>23</v>
      </c>
      <c r="C11" s="517"/>
      <c r="D11" s="514"/>
      <c r="E11" s="513"/>
      <c r="F11" s="507"/>
      <c r="G11" s="549"/>
    </row>
    <row r="12" spans="1:7">
      <c r="A12" s="511" t="s">
        <v>24</v>
      </c>
      <c r="B12" s="511" t="s">
        <v>25</v>
      </c>
      <c r="C12" s="517"/>
      <c r="D12" s="514"/>
      <c r="E12" s="513"/>
      <c r="F12" s="507"/>
      <c r="G12" s="549"/>
    </row>
    <row r="13" spans="1:7">
      <c r="A13" s="511" t="s">
        <v>26</v>
      </c>
      <c r="B13" s="511" t="s">
        <v>27</v>
      </c>
      <c r="C13" s="521"/>
      <c r="D13" s="514"/>
      <c r="E13" s="513"/>
      <c r="F13" s="507"/>
      <c r="G13" s="549"/>
    </row>
    <row r="14" spans="1:7" ht="15.75" thickBot="1">
      <c r="A14" s="511" t="s">
        <v>32</v>
      </c>
      <c r="B14" s="511" t="s">
        <v>33</v>
      </c>
      <c r="C14" s="511"/>
      <c r="D14" s="514">
        <v>400000</v>
      </c>
      <c r="E14" s="513"/>
      <c r="F14" s="507"/>
      <c r="G14" s="549"/>
    </row>
    <row r="15" spans="1:7">
      <c r="A15" s="549"/>
      <c r="B15" s="525" t="s">
        <v>36</v>
      </c>
      <c r="C15" s="526"/>
      <c r="D15" s="527">
        <f>SUM(D2:D14)</f>
        <v>971720</v>
      </c>
      <c r="E15" s="549"/>
      <c r="F15" s="549"/>
      <c r="G15" s="549"/>
    </row>
    <row r="16" spans="1:7">
      <c r="A16" s="549"/>
      <c r="B16" s="549"/>
      <c r="C16" s="549"/>
      <c r="D16" s="549"/>
      <c r="E16" s="549"/>
      <c r="F16" s="549"/>
      <c r="G16" s="549"/>
    </row>
    <row r="17" spans="1:7">
      <c r="A17" s="549"/>
      <c r="B17" s="549" t="s">
        <v>880</v>
      </c>
      <c r="C17" s="549"/>
      <c r="D17" s="549"/>
      <c r="E17" s="549"/>
      <c r="F17" s="549"/>
      <c r="G17" s="549"/>
    </row>
    <row r="18" spans="1:7">
      <c r="A18" s="549"/>
      <c r="B18" s="549"/>
      <c r="C18" s="549"/>
      <c r="D18" s="549"/>
      <c r="E18" s="549"/>
      <c r="F18" s="549"/>
      <c r="G18" s="549"/>
    </row>
    <row r="19" spans="1:7">
      <c r="A19" s="570"/>
      <c r="B19" s="571" t="s">
        <v>585</v>
      </c>
      <c r="C19" s="570"/>
      <c r="D19" s="570"/>
      <c r="E19" s="549"/>
      <c r="F19" s="549"/>
      <c r="G19" s="549"/>
    </row>
    <row r="20" spans="1:7">
      <c r="A20" s="570">
        <v>501</v>
      </c>
      <c r="B20" s="565" t="s">
        <v>586</v>
      </c>
      <c r="C20" s="570"/>
      <c r="D20" s="566">
        <v>100000</v>
      </c>
      <c r="E20" s="549"/>
      <c r="F20" s="549"/>
      <c r="G20" s="549"/>
    </row>
    <row r="21" spans="1:7">
      <c r="A21" s="570"/>
      <c r="B21" s="565" t="s">
        <v>587</v>
      </c>
      <c r="C21" s="570"/>
      <c r="D21" s="566">
        <v>150000</v>
      </c>
      <c r="E21" s="549"/>
      <c r="F21" s="549"/>
      <c r="G21" s="549"/>
    </row>
    <row r="22" spans="1:7">
      <c r="A22" s="570"/>
      <c r="B22" s="565" t="s">
        <v>588</v>
      </c>
      <c r="C22" s="570"/>
      <c r="D22" s="566">
        <v>30000</v>
      </c>
      <c r="E22" s="549"/>
      <c r="F22" s="549"/>
      <c r="G22" s="549"/>
    </row>
    <row r="23" spans="1:7">
      <c r="A23" s="570"/>
      <c r="B23" s="565" t="s">
        <v>589</v>
      </c>
      <c r="C23" s="570"/>
      <c r="D23" s="566">
        <v>15000</v>
      </c>
      <c r="E23" s="549"/>
      <c r="F23" s="549"/>
      <c r="G23" s="549"/>
    </row>
    <row r="24" spans="1:7">
      <c r="A24" s="570"/>
      <c r="B24" s="565" t="s">
        <v>590</v>
      </c>
      <c r="C24" s="570"/>
      <c r="D24" s="567">
        <v>60000</v>
      </c>
      <c r="E24" s="549"/>
      <c r="F24" s="549"/>
      <c r="G24" s="549"/>
    </row>
    <row r="25" spans="1:7">
      <c r="A25" s="570">
        <v>518</v>
      </c>
      <c r="B25" s="565" t="s">
        <v>591</v>
      </c>
      <c r="C25" s="570"/>
      <c r="D25" s="568">
        <v>70000</v>
      </c>
      <c r="E25" s="549"/>
      <c r="F25" s="549"/>
      <c r="G25" s="549"/>
    </row>
    <row r="26" spans="1:7">
      <c r="A26" s="570"/>
      <c r="B26" s="565" t="s">
        <v>592</v>
      </c>
      <c r="C26" s="570"/>
      <c r="D26" s="568">
        <v>2000</v>
      </c>
      <c r="E26" s="549"/>
      <c r="F26" s="549"/>
      <c r="G26" s="549"/>
    </row>
    <row r="27" spans="1:7">
      <c r="A27" s="570"/>
      <c r="B27" s="565" t="s">
        <v>593</v>
      </c>
      <c r="C27" s="570"/>
      <c r="D27" s="568">
        <v>136000</v>
      </c>
      <c r="E27" s="549"/>
      <c r="F27" s="549"/>
      <c r="G27" s="549"/>
    </row>
    <row r="28" spans="1:7">
      <c r="A28" s="570"/>
      <c r="B28" s="565" t="s">
        <v>594</v>
      </c>
      <c r="C28" s="570"/>
      <c r="D28" s="569">
        <v>8720</v>
      </c>
      <c r="E28" s="549"/>
      <c r="F28" s="549"/>
      <c r="G28" s="549"/>
    </row>
    <row r="29" spans="1:7">
      <c r="A29" s="570">
        <v>799</v>
      </c>
      <c r="B29" s="568" t="s">
        <v>595</v>
      </c>
      <c r="C29" s="570"/>
      <c r="D29" s="568">
        <v>400000</v>
      </c>
      <c r="E29" s="549"/>
      <c r="F29" s="549"/>
      <c r="G29" s="549"/>
    </row>
    <row r="30" spans="1:7">
      <c r="A30" s="549"/>
      <c r="B30" s="549"/>
      <c r="C30" s="549"/>
      <c r="D30" s="549"/>
      <c r="E30" s="549"/>
      <c r="F30" s="549"/>
      <c r="G30" s="549"/>
    </row>
    <row r="31" spans="1:7">
      <c r="A31" s="549"/>
      <c r="B31" s="549"/>
      <c r="C31" s="549"/>
      <c r="D31" s="549"/>
      <c r="E31" s="549"/>
      <c r="F31" s="549"/>
      <c r="G31" s="549"/>
    </row>
    <row r="32" spans="1:7">
      <c r="A32" s="549"/>
      <c r="B32" s="549"/>
      <c r="C32" s="549"/>
      <c r="D32" s="549"/>
      <c r="E32" s="549"/>
      <c r="F32" s="549"/>
      <c r="G32" s="549"/>
    </row>
    <row r="33" spans="1:7">
      <c r="A33" s="549"/>
      <c r="B33" s="549"/>
      <c r="C33" s="549"/>
      <c r="D33" s="549"/>
      <c r="E33" s="549"/>
      <c r="F33" s="549"/>
      <c r="G33" s="549"/>
    </row>
    <row r="34" spans="1:7">
      <c r="A34" s="549"/>
      <c r="B34" s="549"/>
      <c r="C34" s="549"/>
      <c r="D34" s="549"/>
      <c r="E34" s="549"/>
      <c r="F34" s="549"/>
      <c r="G34" s="549"/>
    </row>
    <row r="35" spans="1:7">
      <c r="A35" s="549"/>
      <c r="B35" s="549"/>
      <c r="C35" s="549"/>
      <c r="D35" s="549"/>
      <c r="E35" s="549"/>
      <c r="F35" s="549"/>
      <c r="G35" s="549"/>
    </row>
    <row r="36" spans="1:7">
      <c r="A36" s="549"/>
      <c r="B36" s="549"/>
      <c r="C36" s="549"/>
      <c r="D36" s="549"/>
      <c r="E36" s="549"/>
      <c r="F36" s="549"/>
      <c r="G36" s="549"/>
    </row>
    <row r="37" spans="1:7">
      <c r="A37" s="549"/>
      <c r="B37" s="549"/>
      <c r="C37" s="549"/>
      <c r="D37" s="549"/>
      <c r="E37" s="549"/>
      <c r="F37" s="549"/>
      <c r="G37" s="549"/>
    </row>
    <row r="38" spans="1:7">
      <c r="A38" s="549"/>
      <c r="B38" s="549"/>
      <c r="C38" s="549"/>
      <c r="D38" s="549"/>
      <c r="E38" s="549"/>
      <c r="F38" s="549"/>
      <c r="G38" s="549"/>
    </row>
    <row r="39" spans="1:7">
      <c r="A39" s="549"/>
      <c r="B39" s="549"/>
      <c r="C39" s="549"/>
      <c r="D39" s="549"/>
      <c r="E39" s="549"/>
      <c r="F39" s="549"/>
      <c r="G39" s="549"/>
    </row>
    <row r="40" spans="1:7">
      <c r="A40" s="549"/>
      <c r="B40" s="549"/>
      <c r="C40" s="549"/>
      <c r="D40" s="549"/>
      <c r="E40" s="549"/>
      <c r="F40" s="549"/>
      <c r="G40" s="549"/>
    </row>
    <row r="41" spans="1:7">
      <c r="A41" s="549"/>
      <c r="B41" s="549"/>
      <c r="C41" s="549"/>
      <c r="D41" s="549"/>
      <c r="E41" s="549"/>
      <c r="F41" s="549"/>
      <c r="G41" s="549"/>
    </row>
    <row r="42" spans="1:7">
      <c r="A42" s="549"/>
      <c r="B42" s="549"/>
      <c r="C42" s="549"/>
      <c r="D42" s="549"/>
      <c r="E42" s="549"/>
      <c r="F42" s="549"/>
      <c r="G42" s="549"/>
    </row>
    <row r="43" spans="1:7">
      <c r="A43" s="549"/>
      <c r="B43" s="549"/>
      <c r="C43" s="549"/>
      <c r="D43" s="549"/>
      <c r="E43" s="549"/>
      <c r="F43" s="549"/>
      <c r="G43" s="549"/>
    </row>
    <row r="44" spans="1:7">
      <c r="A44" s="549"/>
      <c r="B44" s="549"/>
      <c r="C44" s="549"/>
      <c r="D44" s="549"/>
      <c r="E44" s="549"/>
      <c r="F44" s="549"/>
      <c r="G44" s="549"/>
    </row>
    <row r="45" spans="1:7">
      <c r="A45" s="549"/>
      <c r="B45" s="549"/>
      <c r="C45" s="549"/>
      <c r="D45" s="549"/>
      <c r="E45" s="549"/>
      <c r="F45" s="549"/>
      <c r="G45" s="549"/>
    </row>
    <row r="46" spans="1:7">
      <c r="A46" s="549"/>
      <c r="B46" s="549"/>
      <c r="C46" s="549"/>
      <c r="D46" s="549"/>
      <c r="E46" s="549"/>
      <c r="F46" s="549"/>
      <c r="G46" s="549"/>
    </row>
    <row r="47" spans="1:7">
      <c r="A47" s="549"/>
      <c r="B47" s="549"/>
      <c r="C47" s="549"/>
      <c r="D47" s="549"/>
      <c r="E47" s="549"/>
      <c r="F47" s="549"/>
      <c r="G47" s="549"/>
    </row>
    <row r="48" spans="1:7">
      <c r="A48" s="549"/>
      <c r="B48" s="549"/>
      <c r="C48" s="549"/>
      <c r="D48" s="549"/>
      <c r="E48" s="549"/>
      <c r="F48" s="549"/>
      <c r="G48" s="549"/>
    </row>
    <row r="49" spans="1:7">
      <c r="A49" s="549"/>
      <c r="B49" s="549"/>
      <c r="C49" s="549"/>
      <c r="D49" s="549"/>
      <c r="E49" s="549"/>
      <c r="F49" s="549"/>
      <c r="G49" s="549"/>
    </row>
    <row r="50" spans="1:7">
      <c r="A50" s="549"/>
      <c r="B50" s="549"/>
      <c r="C50" s="549"/>
      <c r="D50" s="549"/>
      <c r="E50" s="549"/>
      <c r="F50" s="549"/>
      <c r="G50" s="549"/>
    </row>
    <row r="51" spans="1:7">
      <c r="A51" s="549"/>
      <c r="B51" s="549"/>
      <c r="C51" s="549"/>
      <c r="D51" s="549"/>
      <c r="E51" s="549"/>
      <c r="F51" s="549"/>
      <c r="G51" s="549"/>
    </row>
    <row r="52" spans="1:7">
      <c r="A52" s="549"/>
      <c r="B52" s="549"/>
      <c r="C52" s="549"/>
      <c r="D52" s="549"/>
      <c r="E52" s="549"/>
      <c r="F52" s="549"/>
      <c r="G52" s="549"/>
    </row>
    <row r="53" spans="1:7">
      <c r="A53" s="549"/>
      <c r="B53" s="549"/>
      <c r="C53" s="549"/>
      <c r="D53" s="549"/>
      <c r="E53" s="549"/>
      <c r="F53" s="549"/>
      <c r="G53" s="549"/>
    </row>
    <row r="54" spans="1:7">
      <c r="A54" s="549"/>
      <c r="B54" s="549"/>
      <c r="C54" s="549"/>
      <c r="D54" s="549"/>
      <c r="E54" s="549"/>
      <c r="F54" s="549"/>
      <c r="G54" s="549"/>
    </row>
    <row r="55" spans="1:7">
      <c r="A55" s="549"/>
      <c r="B55" s="549"/>
      <c r="C55" s="549"/>
      <c r="D55" s="549"/>
      <c r="E55" s="549"/>
      <c r="F55" s="549"/>
      <c r="G55" s="549"/>
    </row>
    <row r="56" spans="1:7">
      <c r="A56" s="549"/>
      <c r="B56" s="549"/>
      <c r="C56" s="549"/>
      <c r="D56" s="549"/>
      <c r="E56" s="549"/>
      <c r="F56" s="549"/>
      <c r="G56" s="549"/>
    </row>
    <row r="57" spans="1:7">
      <c r="A57" s="549"/>
      <c r="B57" s="549"/>
      <c r="C57" s="549"/>
      <c r="D57" s="549"/>
      <c r="E57" s="549"/>
      <c r="F57" s="549"/>
      <c r="G57" s="549"/>
    </row>
    <row r="58" spans="1:7">
      <c r="A58" s="549"/>
      <c r="B58" s="549"/>
      <c r="C58" s="549"/>
      <c r="D58" s="549"/>
      <c r="E58" s="549"/>
      <c r="F58" s="549"/>
      <c r="G58" s="549"/>
    </row>
    <row r="59" spans="1:7">
      <c r="A59" s="549"/>
      <c r="B59" s="549"/>
      <c r="C59" s="549"/>
      <c r="D59" s="549"/>
      <c r="E59" s="549"/>
      <c r="F59" s="549"/>
      <c r="G59" s="549"/>
    </row>
    <row r="60" spans="1:7">
      <c r="A60" s="549"/>
      <c r="B60" s="549"/>
      <c r="C60" s="549"/>
      <c r="D60" s="549"/>
      <c r="E60" s="549"/>
      <c r="F60" s="549"/>
      <c r="G60" s="549"/>
    </row>
    <row r="61" spans="1:7">
      <c r="A61" s="549"/>
      <c r="B61" s="549"/>
      <c r="C61" s="549"/>
      <c r="D61" s="549"/>
      <c r="E61" s="549"/>
      <c r="F61" s="549"/>
      <c r="G61" s="549"/>
    </row>
    <row r="62" spans="1:7">
      <c r="A62" s="549"/>
      <c r="B62" s="549"/>
      <c r="C62" s="549"/>
      <c r="D62" s="549"/>
      <c r="E62" s="549"/>
      <c r="F62" s="549"/>
      <c r="G62" s="549"/>
    </row>
    <row r="63" spans="1:7">
      <c r="A63" s="549"/>
      <c r="B63" s="549"/>
      <c r="C63" s="549"/>
      <c r="D63" s="549"/>
      <c r="E63" s="549"/>
      <c r="F63" s="549"/>
      <c r="G63" s="549"/>
    </row>
    <row r="64" spans="1:7">
      <c r="A64" s="549"/>
      <c r="B64" s="549"/>
      <c r="C64" s="549"/>
      <c r="D64" s="549"/>
      <c r="E64" s="549"/>
      <c r="F64" s="549"/>
      <c r="G64" s="549"/>
    </row>
    <row r="65" spans="1:7">
      <c r="A65" s="549"/>
      <c r="B65" s="549"/>
      <c r="C65" s="549"/>
      <c r="D65" s="549"/>
      <c r="E65" s="549"/>
      <c r="F65" s="549"/>
      <c r="G65" s="549"/>
    </row>
    <row r="66" spans="1:7">
      <c r="A66" s="549"/>
      <c r="B66" s="549"/>
      <c r="C66" s="549"/>
      <c r="D66" s="549"/>
      <c r="E66" s="549"/>
      <c r="F66" s="549"/>
      <c r="G66" s="549"/>
    </row>
    <row r="67" spans="1:7">
      <c r="A67" s="549"/>
      <c r="B67" s="549"/>
      <c r="C67" s="549"/>
      <c r="D67" s="549"/>
      <c r="E67" s="549"/>
      <c r="F67" s="549"/>
      <c r="G67" s="549"/>
    </row>
    <row r="68" spans="1:7">
      <c r="A68" s="549"/>
      <c r="B68" s="549"/>
      <c r="C68" s="549"/>
      <c r="D68" s="549"/>
      <c r="E68" s="549"/>
      <c r="F68" s="549"/>
      <c r="G68" s="549"/>
    </row>
    <row r="69" spans="1:7">
      <c r="A69" s="549"/>
      <c r="B69" s="549"/>
      <c r="C69" s="549"/>
      <c r="D69" s="549"/>
      <c r="E69" s="549"/>
      <c r="F69" s="549"/>
      <c r="G69" s="549"/>
    </row>
    <row r="70" spans="1:7">
      <c r="A70" s="549"/>
      <c r="B70" s="549"/>
      <c r="C70" s="549"/>
      <c r="D70" s="549"/>
      <c r="E70" s="549"/>
      <c r="F70" s="549"/>
      <c r="G70" s="549"/>
    </row>
    <row r="71" spans="1:7">
      <c r="A71" s="549"/>
      <c r="B71" s="549"/>
      <c r="C71" s="549"/>
      <c r="D71" s="549"/>
      <c r="E71" s="549"/>
      <c r="F71" s="549"/>
      <c r="G71" s="549"/>
    </row>
    <row r="72" spans="1:7">
      <c r="A72" s="549"/>
      <c r="B72" s="549"/>
      <c r="C72" s="549"/>
      <c r="D72" s="549"/>
      <c r="E72" s="549"/>
      <c r="F72" s="549"/>
      <c r="G72" s="549"/>
    </row>
    <row r="73" spans="1:7">
      <c r="A73" s="549"/>
      <c r="B73" s="549"/>
      <c r="C73" s="549"/>
      <c r="D73" s="549"/>
      <c r="E73" s="549"/>
      <c r="F73" s="549"/>
      <c r="G73" s="549"/>
    </row>
    <row r="74" spans="1:7">
      <c r="A74" s="549"/>
      <c r="B74" s="549"/>
      <c r="C74" s="549"/>
      <c r="D74" s="549"/>
      <c r="E74" s="549"/>
      <c r="F74" s="549"/>
      <c r="G74" s="549"/>
    </row>
    <row r="75" spans="1:7">
      <c r="A75" s="549"/>
      <c r="B75" s="549"/>
      <c r="C75" s="549"/>
      <c r="D75" s="549"/>
      <c r="E75" s="549"/>
      <c r="F75" s="549"/>
      <c r="G75" s="549"/>
    </row>
    <row r="76" spans="1:7">
      <c r="A76" s="549"/>
      <c r="B76" s="549"/>
      <c r="C76" s="549"/>
      <c r="D76" s="549"/>
      <c r="E76" s="549"/>
      <c r="F76" s="549"/>
      <c r="G76" s="549"/>
    </row>
    <row r="77" spans="1:7">
      <c r="A77" s="549"/>
      <c r="B77" s="549"/>
      <c r="C77" s="549"/>
      <c r="D77" s="549"/>
      <c r="E77" s="549"/>
      <c r="F77" s="549"/>
      <c r="G77" s="549"/>
    </row>
    <row r="78" spans="1:7">
      <c r="A78" s="549"/>
      <c r="B78" s="549"/>
      <c r="C78" s="549"/>
      <c r="D78" s="549"/>
      <c r="E78" s="549"/>
      <c r="F78" s="549"/>
      <c r="G78" s="549"/>
    </row>
    <row r="79" spans="1:7">
      <c r="A79" s="549"/>
      <c r="B79" s="549"/>
      <c r="C79" s="549"/>
      <c r="D79" s="549"/>
      <c r="E79" s="549"/>
      <c r="F79" s="549"/>
      <c r="G79" s="549"/>
    </row>
    <row r="80" spans="1:7">
      <c r="A80" s="549"/>
      <c r="B80" s="549"/>
      <c r="C80" s="549"/>
      <c r="D80" s="549"/>
      <c r="E80" s="549"/>
      <c r="F80" s="549"/>
      <c r="G80" s="549"/>
    </row>
    <row r="81" spans="1:7">
      <c r="A81" s="549"/>
      <c r="B81" s="549"/>
      <c r="C81" s="549"/>
      <c r="D81" s="549"/>
      <c r="E81" s="549"/>
      <c r="F81" s="549"/>
      <c r="G81" s="549"/>
    </row>
    <row r="82" spans="1:7">
      <c r="A82" s="549"/>
      <c r="B82" s="549"/>
      <c r="C82" s="549"/>
      <c r="D82" s="549"/>
      <c r="E82" s="549"/>
      <c r="F82" s="549"/>
      <c r="G82" s="549"/>
    </row>
    <row r="83" spans="1:7">
      <c r="A83" s="549"/>
      <c r="B83" s="549"/>
      <c r="C83" s="549"/>
      <c r="D83" s="549"/>
      <c r="E83" s="549"/>
      <c r="F83" s="549"/>
      <c r="G83" s="549"/>
    </row>
    <row r="84" spans="1:7">
      <c r="A84" s="549"/>
      <c r="B84" s="549"/>
      <c r="C84" s="549"/>
      <c r="D84" s="549"/>
      <c r="E84" s="549"/>
      <c r="F84" s="549"/>
      <c r="G84" s="549"/>
    </row>
    <row r="85" spans="1:7">
      <c r="A85" s="549"/>
      <c r="B85" s="549"/>
      <c r="C85" s="549"/>
      <c r="D85" s="549"/>
      <c r="E85" s="549"/>
      <c r="F85" s="549"/>
      <c r="G85" s="549"/>
    </row>
    <row r="86" spans="1:7">
      <c r="A86" s="549"/>
      <c r="B86" s="549"/>
      <c r="C86" s="549"/>
      <c r="D86" s="549"/>
      <c r="E86" s="549"/>
      <c r="F86" s="549"/>
      <c r="G86" s="549"/>
    </row>
    <row r="87" spans="1:7">
      <c r="A87" s="549"/>
      <c r="B87" s="549"/>
      <c r="C87" s="549"/>
      <c r="D87" s="549"/>
      <c r="E87" s="549"/>
      <c r="F87" s="549"/>
      <c r="G87" s="549"/>
    </row>
    <row r="88" spans="1:7">
      <c r="A88" s="549"/>
      <c r="B88" s="549"/>
      <c r="C88" s="549"/>
      <c r="D88" s="549"/>
      <c r="E88" s="549"/>
      <c r="F88" s="549"/>
      <c r="G88" s="549"/>
    </row>
    <row r="89" spans="1:7">
      <c r="A89" s="549"/>
      <c r="B89" s="549"/>
      <c r="C89" s="549"/>
      <c r="D89" s="549"/>
      <c r="E89" s="549"/>
      <c r="F89" s="549"/>
      <c r="G89" s="549"/>
    </row>
    <row r="90" spans="1:7">
      <c r="A90" s="549"/>
      <c r="B90" s="549"/>
      <c r="C90" s="549"/>
      <c r="D90" s="549"/>
      <c r="E90" s="549"/>
      <c r="F90" s="549"/>
      <c r="G90" s="549"/>
    </row>
    <row r="91" spans="1:7">
      <c r="A91" s="549"/>
      <c r="B91" s="549"/>
      <c r="C91" s="549"/>
      <c r="D91" s="549"/>
      <c r="E91" s="549"/>
      <c r="F91" s="549"/>
      <c r="G91" s="549"/>
    </row>
    <row r="92" spans="1:7">
      <c r="A92" s="549"/>
      <c r="B92" s="549"/>
      <c r="C92" s="549"/>
      <c r="D92" s="549"/>
      <c r="E92" s="549"/>
      <c r="F92" s="549"/>
      <c r="G92" s="549"/>
    </row>
    <row r="93" spans="1:7">
      <c r="A93" s="549"/>
      <c r="B93" s="549"/>
      <c r="C93" s="549"/>
      <c r="D93" s="549"/>
      <c r="E93" s="549"/>
      <c r="F93" s="549"/>
      <c r="G93" s="549"/>
    </row>
    <row r="94" spans="1:7">
      <c r="A94" s="549"/>
      <c r="B94" s="549"/>
      <c r="C94" s="549"/>
      <c r="D94" s="549"/>
      <c r="E94" s="549"/>
      <c r="F94" s="549"/>
      <c r="G94" s="549"/>
    </row>
    <row r="95" spans="1:7">
      <c r="A95" s="549"/>
      <c r="B95" s="549"/>
      <c r="C95" s="549"/>
      <c r="D95" s="549"/>
      <c r="E95" s="549"/>
      <c r="F95" s="549"/>
      <c r="G95" s="549"/>
    </row>
    <row r="96" spans="1:7">
      <c r="A96" s="549"/>
      <c r="B96" s="549"/>
      <c r="C96" s="549"/>
      <c r="D96" s="549"/>
      <c r="E96" s="549"/>
      <c r="F96" s="549"/>
      <c r="G96" s="549"/>
    </row>
    <row r="97" spans="1:7">
      <c r="A97" s="549"/>
      <c r="B97" s="549"/>
      <c r="C97" s="549"/>
      <c r="D97" s="549"/>
      <c r="E97" s="549"/>
      <c r="F97" s="549"/>
      <c r="G97" s="549"/>
    </row>
    <row r="98" spans="1:7">
      <c r="A98" s="549"/>
      <c r="B98" s="549"/>
      <c r="C98" s="549"/>
      <c r="D98" s="549"/>
      <c r="E98" s="549"/>
      <c r="F98" s="549"/>
      <c r="G98" s="549"/>
    </row>
    <row r="99" spans="1:7">
      <c r="A99" s="549"/>
      <c r="B99" s="549"/>
      <c r="C99" s="549"/>
      <c r="D99" s="549"/>
      <c r="E99" s="549"/>
      <c r="F99" s="549"/>
      <c r="G99" s="549"/>
    </row>
    <row r="100" spans="1:7">
      <c r="A100" s="549"/>
      <c r="B100" s="549"/>
      <c r="C100" s="549"/>
      <c r="D100" s="549"/>
      <c r="E100" s="549"/>
      <c r="F100" s="549"/>
      <c r="G100" s="549"/>
    </row>
    <row r="101" spans="1:7">
      <c r="A101" s="549"/>
      <c r="B101" s="549"/>
      <c r="C101" s="549"/>
      <c r="D101" s="549"/>
      <c r="E101" s="549"/>
      <c r="F101" s="549"/>
      <c r="G101" s="549"/>
    </row>
    <row r="102" spans="1:7">
      <c r="A102" s="549"/>
      <c r="B102" s="549"/>
      <c r="C102" s="549"/>
      <c r="D102" s="549"/>
      <c r="E102" s="549"/>
      <c r="F102" s="549"/>
      <c r="G102" s="549"/>
    </row>
    <row r="103" spans="1:7">
      <c r="A103" s="549"/>
      <c r="B103" s="549"/>
      <c r="C103" s="549"/>
      <c r="D103" s="549"/>
      <c r="E103" s="549"/>
      <c r="F103" s="549"/>
      <c r="G103" s="549"/>
    </row>
    <row r="104" spans="1:7">
      <c r="A104" s="549"/>
      <c r="B104" s="549"/>
      <c r="C104" s="549"/>
      <c r="D104" s="549"/>
      <c r="E104" s="549"/>
      <c r="F104" s="549"/>
      <c r="G104" s="549"/>
    </row>
    <row r="105" spans="1:7">
      <c r="A105" s="549"/>
      <c r="B105" s="549"/>
      <c r="C105" s="549"/>
      <c r="D105" s="549"/>
      <c r="E105" s="549"/>
      <c r="F105" s="549"/>
      <c r="G105" s="549"/>
    </row>
    <row r="106" spans="1:7">
      <c r="A106" s="549"/>
      <c r="B106" s="549"/>
      <c r="C106" s="549"/>
      <c r="D106" s="549"/>
      <c r="E106" s="549"/>
      <c r="F106" s="549"/>
      <c r="G106" s="549"/>
    </row>
    <row r="107" spans="1:7">
      <c r="A107" s="549"/>
      <c r="B107" s="549"/>
      <c r="C107" s="549"/>
      <c r="D107" s="549"/>
      <c r="E107" s="549"/>
      <c r="F107" s="549"/>
      <c r="G107" s="549"/>
    </row>
    <row r="108" spans="1:7">
      <c r="A108" s="549"/>
      <c r="B108" s="549"/>
      <c r="C108" s="549"/>
      <c r="D108" s="549"/>
      <c r="E108" s="549"/>
      <c r="F108" s="549"/>
      <c r="G108" s="549"/>
    </row>
    <row r="109" spans="1:7">
      <c r="A109" s="549"/>
      <c r="B109" s="549"/>
      <c r="C109" s="549"/>
      <c r="D109" s="549"/>
      <c r="E109" s="549"/>
      <c r="F109" s="549"/>
      <c r="G109" s="549"/>
    </row>
    <row r="110" spans="1:7">
      <c r="A110" s="549"/>
      <c r="B110" s="549"/>
      <c r="C110" s="549"/>
      <c r="D110" s="549"/>
      <c r="E110" s="549"/>
      <c r="F110" s="549"/>
      <c r="G110" s="549"/>
    </row>
    <row r="111" spans="1:7">
      <c r="A111" s="549"/>
      <c r="B111" s="549"/>
      <c r="C111" s="549"/>
      <c r="D111" s="549"/>
      <c r="E111" s="549"/>
      <c r="F111" s="549"/>
      <c r="G111" s="549"/>
    </row>
    <row r="112" spans="1:7">
      <c r="A112" s="549"/>
      <c r="B112" s="549"/>
      <c r="C112" s="549"/>
      <c r="D112" s="549"/>
      <c r="E112" s="549"/>
      <c r="F112" s="549"/>
      <c r="G112" s="549"/>
    </row>
    <row r="113" spans="1:7">
      <c r="A113" s="549"/>
      <c r="B113" s="549"/>
      <c r="C113" s="549"/>
      <c r="D113" s="549"/>
      <c r="E113" s="549"/>
      <c r="F113" s="549"/>
      <c r="G113" s="549"/>
    </row>
    <row r="114" spans="1:7">
      <c r="A114" s="549"/>
      <c r="B114" s="549"/>
      <c r="C114" s="549"/>
      <c r="D114" s="549"/>
      <c r="E114" s="549"/>
      <c r="F114" s="549"/>
      <c r="G114" s="549"/>
    </row>
    <row r="115" spans="1:7">
      <c r="A115" s="549"/>
      <c r="B115" s="549"/>
      <c r="C115" s="549"/>
      <c r="D115" s="549"/>
      <c r="E115" s="549"/>
      <c r="F115" s="549"/>
      <c r="G115" s="549"/>
    </row>
    <row r="116" spans="1:7">
      <c r="A116" s="549"/>
      <c r="B116" s="549"/>
      <c r="C116" s="549"/>
      <c r="D116" s="549"/>
      <c r="E116" s="549"/>
      <c r="F116" s="549"/>
      <c r="G116" s="549"/>
    </row>
    <row r="117" spans="1:7">
      <c r="A117" s="549"/>
      <c r="B117" s="549"/>
      <c r="C117" s="549"/>
      <c r="D117" s="549"/>
      <c r="E117" s="549"/>
      <c r="F117" s="549"/>
      <c r="G117" s="549"/>
    </row>
    <row r="118" spans="1:7">
      <c r="A118" s="549"/>
      <c r="B118" s="549"/>
      <c r="C118" s="549"/>
      <c r="D118" s="549"/>
      <c r="E118" s="549"/>
      <c r="F118" s="549"/>
      <c r="G118" s="549"/>
    </row>
    <row r="119" spans="1:7">
      <c r="A119" s="549"/>
      <c r="B119" s="549"/>
      <c r="C119" s="549"/>
      <c r="D119" s="549"/>
      <c r="E119" s="549"/>
      <c r="F119" s="549"/>
      <c r="G119" s="549"/>
    </row>
    <row r="120" spans="1:7">
      <c r="A120" s="549"/>
      <c r="B120" s="549"/>
      <c r="C120" s="549"/>
      <c r="D120" s="549"/>
      <c r="E120" s="549"/>
      <c r="F120" s="549"/>
      <c r="G120" s="549"/>
    </row>
    <row r="121" spans="1:7">
      <c r="A121" s="549"/>
      <c r="B121" s="549"/>
      <c r="C121" s="549"/>
      <c r="D121" s="549"/>
      <c r="E121" s="549"/>
      <c r="F121" s="549"/>
      <c r="G121" s="549"/>
    </row>
    <row r="122" spans="1:7">
      <c r="A122" s="549"/>
      <c r="B122" s="549"/>
      <c r="C122" s="549"/>
      <c r="D122" s="549"/>
      <c r="E122" s="549"/>
      <c r="F122" s="549"/>
      <c r="G122" s="549"/>
    </row>
    <row r="123" spans="1:7">
      <c r="A123" s="549"/>
      <c r="B123" s="549"/>
      <c r="C123" s="549"/>
      <c r="D123" s="549"/>
      <c r="E123" s="549"/>
      <c r="F123" s="549"/>
      <c r="G123" s="549"/>
    </row>
    <row r="124" spans="1:7">
      <c r="A124" s="549"/>
      <c r="B124" s="549"/>
      <c r="C124" s="549"/>
      <c r="D124" s="549"/>
      <c r="E124" s="549"/>
      <c r="F124" s="549"/>
      <c r="G124" s="549"/>
    </row>
    <row r="125" spans="1:7">
      <c r="A125" s="549"/>
      <c r="B125" s="549"/>
      <c r="C125" s="549"/>
      <c r="D125" s="549"/>
      <c r="E125" s="549"/>
      <c r="F125" s="549"/>
      <c r="G125" s="549"/>
    </row>
    <row r="126" spans="1:7">
      <c r="A126" s="549"/>
      <c r="B126" s="549"/>
      <c r="C126" s="549"/>
      <c r="D126" s="549"/>
      <c r="E126" s="549"/>
      <c r="F126" s="549"/>
      <c r="G126" s="549"/>
    </row>
    <row r="127" spans="1:7">
      <c r="A127" s="549"/>
      <c r="B127" s="549"/>
      <c r="C127" s="549"/>
      <c r="D127" s="549"/>
      <c r="E127" s="549"/>
      <c r="F127" s="549"/>
      <c r="G127" s="549"/>
    </row>
    <row r="128" spans="1:7">
      <c r="A128" s="549"/>
      <c r="B128" s="549"/>
      <c r="C128" s="549"/>
      <c r="D128" s="549"/>
      <c r="E128" s="549"/>
      <c r="F128" s="549"/>
      <c r="G128" s="549"/>
    </row>
    <row r="129" spans="1:7">
      <c r="A129" s="549"/>
      <c r="B129" s="549"/>
      <c r="C129" s="549"/>
      <c r="D129" s="549"/>
      <c r="E129" s="549"/>
      <c r="F129" s="549"/>
      <c r="G129" s="549"/>
    </row>
    <row r="130" spans="1:7">
      <c r="A130" s="549"/>
      <c r="B130" s="549"/>
      <c r="C130" s="549"/>
      <c r="D130" s="549"/>
      <c r="E130" s="549"/>
      <c r="F130" s="549"/>
      <c r="G130" s="549"/>
    </row>
    <row r="131" spans="1:7">
      <c r="A131" s="549"/>
      <c r="B131" s="549"/>
      <c r="C131" s="549"/>
      <c r="D131" s="549"/>
      <c r="E131" s="549"/>
      <c r="F131" s="549"/>
      <c r="G131" s="549"/>
    </row>
    <row r="132" spans="1:7">
      <c r="A132" s="549"/>
      <c r="B132" s="549"/>
      <c r="C132" s="549"/>
      <c r="D132" s="549"/>
      <c r="E132" s="549"/>
      <c r="F132" s="549"/>
      <c r="G132" s="549"/>
    </row>
    <row r="133" spans="1:7">
      <c r="A133" s="549"/>
      <c r="B133" s="549"/>
      <c r="C133" s="549"/>
      <c r="D133" s="549"/>
      <c r="E133" s="549"/>
      <c r="F133" s="549"/>
      <c r="G133" s="549"/>
    </row>
    <row r="134" spans="1:7">
      <c r="A134" s="549"/>
      <c r="B134" s="549"/>
      <c r="C134" s="549"/>
      <c r="D134" s="549"/>
      <c r="E134" s="549"/>
      <c r="F134" s="549"/>
      <c r="G134" s="549"/>
    </row>
    <row r="135" spans="1:7">
      <c r="A135" s="549"/>
      <c r="B135" s="549"/>
      <c r="C135" s="549"/>
      <c r="D135" s="549"/>
      <c r="E135" s="549"/>
      <c r="F135" s="549"/>
      <c r="G135" s="549"/>
    </row>
    <row r="136" spans="1:7">
      <c r="A136" s="549"/>
      <c r="B136" s="549"/>
      <c r="C136" s="549"/>
      <c r="D136" s="549"/>
      <c r="E136" s="549"/>
      <c r="F136" s="549"/>
      <c r="G136" s="549"/>
    </row>
    <row r="137" spans="1:7">
      <c r="A137" s="549"/>
      <c r="B137" s="549"/>
      <c r="C137" s="549"/>
      <c r="D137" s="549"/>
      <c r="E137" s="549"/>
      <c r="F137" s="549"/>
      <c r="G137" s="549"/>
    </row>
    <row r="138" spans="1:7">
      <c r="A138" s="549"/>
      <c r="B138" s="549"/>
      <c r="C138" s="549"/>
      <c r="D138" s="549"/>
      <c r="E138" s="549"/>
      <c r="F138" s="549"/>
      <c r="G138" s="549"/>
    </row>
    <row r="139" spans="1:7">
      <c r="A139" s="549"/>
      <c r="B139" s="549"/>
      <c r="C139" s="549"/>
      <c r="D139" s="549"/>
      <c r="E139" s="549"/>
      <c r="F139" s="549"/>
      <c r="G139" s="549"/>
    </row>
    <row r="140" spans="1:7">
      <c r="A140" s="549"/>
      <c r="B140" s="549"/>
      <c r="C140" s="549"/>
      <c r="D140" s="549"/>
      <c r="E140" s="549"/>
      <c r="F140" s="549"/>
      <c r="G140" s="549"/>
    </row>
    <row r="141" spans="1:7">
      <c r="A141" s="549"/>
      <c r="B141" s="549"/>
      <c r="C141" s="549"/>
      <c r="D141" s="549"/>
      <c r="E141" s="549"/>
      <c r="F141" s="549"/>
      <c r="G141" s="549"/>
    </row>
    <row r="142" spans="1:7">
      <c r="A142" s="549"/>
      <c r="B142" s="549"/>
      <c r="C142" s="549"/>
      <c r="D142" s="549"/>
      <c r="E142" s="549"/>
      <c r="F142" s="549"/>
      <c r="G142" s="549"/>
    </row>
    <row r="143" spans="1:7">
      <c r="A143" s="549"/>
      <c r="B143" s="549"/>
      <c r="C143" s="549"/>
      <c r="D143" s="549"/>
      <c r="E143" s="549"/>
      <c r="F143" s="549"/>
      <c r="G143" s="549"/>
    </row>
    <row r="144" spans="1:7">
      <c r="A144" s="549"/>
      <c r="B144" s="549"/>
      <c r="C144" s="549"/>
      <c r="D144" s="549"/>
      <c r="E144" s="549"/>
      <c r="F144" s="549"/>
      <c r="G144" s="549"/>
    </row>
    <row r="145" spans="1:7">
      <c r="A145" s="549"/>
      <c r="B145" s="549"/>
      <c r="C145" s="549"/>
      <c r="D145" s="549"/>
      <c r="E145" s="549"/>
      <c r="F145" s="549"/>
      <c r="G145" s="549"/>
    </row>
    <row r="146" spans="1:7">
      <c r="A146" s="549"/>
      <c r="B146" s="549"/>
      <c r="C146" s="549"/>
      <c r="D146" s="549"/>
      <c r="E146" s="549"/>
      <c r="F146" s="549"/>
      <c r="G146" s="549"/>
    </row>
    <row r="147" spans="1:7">
      <c r="A147" s="549"/>
      <c r="B147" s="549"/>
      <c r="C147" s="549"/>
      <c r="D147" s="549"/>
      <c r="E147" s="549"/>
      <c r="F147" s="549"/>
      <c r="G147" s="549"/>
    </row>
    <row r="148" spans="1:7">
      <c r="A148" s="549"/>
      <c r="B148" s="549"/>
      <c r="C148" s="549"/>
      <c r="D148" s="549"/>
      <c r="E148" s="549"/>
      <c r="F148" s="549"/>
      <c r="G148" s="549"/>
    </row>
    <row r="149" spans="1:7">
      <c r="A149" s="549"/>
      <c r="B149" s="549"/>
      <c r="C149" s="549"/>
      <c r="D149" s="549"/>
      <c r="E149" s="549"/>
      <c r="F149" s="549"/>
      <c r="G149" s="549"/>
    </row>
    <row r="150" spans="1:7">
      <c r="A150" s="549"/>
      <c r="B150" s="549"/>
      <c r="C150" s="549"/>
      <c r="D150" s="549"/>
      <c r="E150" s="549"/>
      <c r="F150" s="549"/>
      <c r="G150" s="549"/>
    </row>
    <row r="151" spans="1:7">
      <c r="A151" s="549"/>
      <c r="B151" s="549"/>
      <c r="C151" s="549"/>
      <c r="D151" s="549"/>
      <c r="E151" s="549"/>
      <c r="F151" s="549"/>
      <c r="G151" s="549"/>
    </row>
    <row r="152" spans="1:7">
      <c r="A152" s="549"/>
      <c r="B152" s="549"/>
      <c r="C152" s="549"/>
      <c r="D152" s="549"/>
      <c r="E152" s="549"/>
      <c r="F152" s="549"/>
      <c r="G152" s="549"/>
    </row>
    <row r="153" spans="1:7">
      <c r="A153" s="549"/>
      <c r="B153" s="549"/>
      <c r="C153" s="549"/>
      <c r="D153" s="549"/>
      <c r="E153" s="549"/>
      <c r="F153" s="549"/>
      <c r="G153" s="549"/>
    </row>
    <row r="154" spans="1:7">
      <c r="A154" s="549"/>
      <c r="B154" s="549"/>
      <c r="C154" s="549"/>
      <c r="D154" s="549"/>
      <c r="E154" s="549"/>
      <c r="F154" s="549"/>
      <c r="G154" s="549"/>
    </row>
    <row r="155" spans="1:7">
      <c r="A155" s="549"/>
      <c r="B155" s="549"/>
      <c r="C155" s="549"/>
      <c r="D155" s="549"/>
      <c r="E155" s="549"/>
      <c r="F155" s="549"/>
      <c r="G155" s="549"/>
    </row>
    <row r="156" spans="1:7">
      <c r="A156" s="549"/>
      <c r="B156" s="549"/>
      <c r="C156" s="549"/>
      <c r="D156" s="549"/>
      <c r="E156" s="549"/>
      <c r="F156" s="549"/>
      <c r="G156" s="549"/>
    </row>
    <row r="157" spans="1:7">
      <c r="A157" s="549"/>
      <c r="B157" s="549"/>
      <c r="C157" s="549"/>
      <c r="D157" s="549"/>
      <c r="E157" s="549"/>
      <c r="F157" s="549"/>
      <c r="G157" s="549"/>
    </row>
    <row r="158" spans="1:7">
      <c r="A158" s="549"/>
      <c r="B158" s="549"/>
      <c r="C158" s="549"/>
      <c r="D158" s="549"/>
      <c r="E158" s="549"/>
      <c r="F158" s="549"/>
      <c r="G158" s="549"/>
    </row>
    <row r="159" spans="1:7">
      <c r="A159" s="549"/>
      <c r="B159" s="549"/>
      <c r="C159" s="549"/>
      <c r="D159" s="549"/>
      <c r="E159" s="549"/>
      <c r="F159" s="549"/>
      <c r="G159" s="549"/>
    </row>
    <row r="160" spans="1:7">
      <c r="A160" s="549"/>
      <c r="B160" s="549"/>
      <c r="C160" s="549"/>
      <c r="D160" s="549"/>
      <c r="E160" s="549"/>
      <c r="F160" s="549"/>
      <c r="G160" s="549"/>
    </row>
    <row r="161" spans="1:7">
      <c r="A161" s="549"/>
      <c r="B161" s="549"/>
      <c r="C161" s="549"/>
      <c r="D161" s="549"/>
      <c r="E161" s="549"/>
      <c r="F161" s="549"/>
      <c r="G161" s="549"/>
    </row>
    <row r="162" spans="1:7">
      <c r="A162" s="549"/>
      <c r="B162" s="549"/>
      <c r="C162" s="549"/>
      <c r="D162" s="549"/>
      <c r="E162" s="549"/>
      <c r="F162" s="549"/>
      <c r="G162" s="549"/>
    </row>
    <row r="163" spans="1:7">
      <c r="A163" s="549"/>
      <c r="B163" s="549"/>
      <c r="C163" s="549"/>
      <c r="D163" s="549"/>
      <c r="E163" s="549"/>
      <c r="F163" s="549"/>
      <c r="G163" s="549"/>
    </row>
    <row r="164" spans="1:7">
      <c r="A164" s="549"/>
      <c r="B164" s="549"/>
      <c r="C164" s="549"/>
      <c r="D164" s="549"/>
      <c r="E164" s="549"/>
      <c r="F164" s="549"/>
      <c r="G164" s="549"/>
    </row>
    <row r="165" spans="1:7">
      <c r="A165" s="549"/>
      <c r="B165" s="549"/>
      <c r="C165" s="549"/>
      <c r="D165" s="549"/>
      <c r="E165" s="549"/>
      <c r="F165" s="549"/>
      <c r="G165" s="549"/>
    </row>
    <row r="166" spans="1:7">
      <c r="A166" s="549"/>
      <c r="B166" s="549"/>
      <c r="C166" s="549"/>
      <c r="D166" s="549"/>
      <c r="E166" s="549"/>
      <c r="F166" s="549"/>
      <c r="G166" s="549"/>
    </row>
    <row r="167" spans="1:7">
      <c r="A167" s="549"/>
      <c r="B167" s="549"/>
      <c r="C167" s="549"/>
      <c r="D167" s="549"/>
      <c r="E167" s="549"/>
      <c r="F167" s="549"/>
      <c r="G167" s="549"/>
    </row>
    <row r="168" spans="1:7">
      <c r="A168" s="549"/>
      <c r="B168" s="549"/>
      <c r="C168" s="549"/>
      <c r="D168" s="549"/>
      <c r="E168" s="549"/>
      <c r="F168" s="549"/>
      <c r="G168" s="549"/>
    </row>
    <row r="169" spans="1:7">
      <c r="A169" s="549"/>
      <c r="B169" s="549"/>
      <c r="C169" s="549"/>
      <c r="D169" s="549"/>
      <c r="E169" s="549"/>
      <c r="F169" s="549"/>
      <c r="G169" s="549"/>
    </row>
    <row r="170" spans="1:7">
      <c r="A170" s="549"/>
      <c r="B170" s="549"/>
      <c r="C170" s="549"/>
      <c r="D170" s="549"/>
      <c r="E170" s="549"/>
      <c r="F170" s="549"/>
      <c r="G170" s="549"/>
    </row>
    <row r="171" spans="1:7">
      <c r="A171" s="549"/>
      <c r="B171" s="549"/>
      <c r="C171" s="549"/>
      <c r="D171" s="549"/>
      <c r="E171" s="549"/>
      <c r="F171" s="549"/>
      <c r="G171" s="549"/>
    </row>
    <row r="172" spans="1:7">
      <c r="A172" s="549"/>
      <c r="B172" s="549"/>
      <c r="C172" s="549"/>
      <c r="D172" s="549"/>
      <c r="E172" s="549"/>
      <c r="F172" s="549"/>
      <c r="G172" s="549"/>
    </row>
    <row r="173" spans="1:7">
      <c r="A173" s="549"/>
      <c r="B173" s="549"/>
      <c r="C173" s="549"/>
      <c r="D173" s="549"/>
      <c r="E173" s="549"/>
      <c r="F173" s="549"/>
      <c r="G173" s="549"/>
    </row>
    <row r="174" spans="1:7">
      <c r="A174" s="549"/>
      <c r="B174" s="549"/>
      <c r="C174" s="549"/>
      <c r="D174" s="549"/>
      <c r="E174" s="549"/>
      <c r="F174" s="549"/>
      <c r="G174" s="549"/>
    </row>
    <row r="175" spans="1:7">
      <c r="A175" s="549"/>
      <c r="B175" s="549"/>
      <c r="C175" s="549"/>
      <c r="D175" s="549"/>
      <c r="E175" s="549"/>
      <c r="F175" s="549"/>
      <c r="G175" s="549"/>
    </row>
    <row r="176" spans="1:7">
      <c r="A176" s="549"/>
      <c r="B176" s="549"/>
      <c r="C176" s="549"/>
      <c r="D176" s="549"/>
      <c r="E176" s="549"/>
      <c r="F176" s="549"/>
      <c r="G176" s="549"/>
    </row>
    <row r="177" spans="1:7">
      <c r="A177" s="549"/>
      <c r="B177" s="549"/>
      <c r="C177" s="549"/>
      <c r="D177" s="549"/>
      <c r="E177" s="549"/>
      <c r="F177" s="549"/>
      <c r="G177" s="549"/>
    </row>
    <row r="178" spans="1:7">
      <c r="A178" s="549"/>
      <c r="B178" s="549"/>
      <c r="C178" s="549"/>
      <c r="D178" s="549"/>
      <c r="E178" s="549"/>
      <c r="F178" s="549"/>
      <c r="G178" s="549"/>
    </row>
    <row r="179" spans="1:7">
      <c r="A179" s="549"/>
      <c r="B179" s="549"/>
      <c r="C179" s="549"/>
      <c r="D179" s="549"/>
      <c r="E179" s="549"/>
      <c r="F179" s="549"/>
      <c r="G179" s="549"/>
    </row>
    <row r="180" spans="1:7">
      <c r="A180" s="549"/>
      <c r="B180" s="549"/>
      <c r="C180" s="549"/>
      <c r="D180" s="549"/>
      <c r="E180" s="549"/>
      <c r="F180" s="549"/>
      <c r="G180" s="549"/>
    </row>
    <row r="181" spans="1:7">
      <c r="A181" s="549"/>
      <c r="B181" s="549"/>
      <c r="C181" s="549"/>
      <c r="D181" s="549"/>
      <c r="E181" s="549"/>
      <c r="F181" s="549"/>
      <c r="G181" s="549"/>
    </row>
    <row r="182" spans="1:7">
      <c r="A182" s="549"/>
      <c r="B182" s="549"/>
      <c r="C182" s="549"/>
      <c r="D182" s="549"/>
      <c r="E182" s="549"/>
      <c r="F182" s="549"/>
      <c r="G182" s="549"/>
    </row>
    <row r="183" spans="1:7">
      <c r="A183" s="549"/>
      <c r="B183" s="549"/>
      <c r="C183" s="549"/>
      <c r="D183" s="549"/>
      <c r="E183" s="549"/>
      <c r="F183" s="549"/>
      <c r="G183" s="549"/>
    </row>
    <row r="184" spans="1:7">
      <c r="A184" s="549"/>
      <c r="B184" s="549"/>
      <c r="C184" s="549"/>
      <c r="D184" s="549"/>
      <c r="E184" s="549"/>
      <c r="F184" s="549"/>
      <c r="G184" s="549"/>
    </row>
    <row r="185" spans="1:7">
      <c r="A185" s="549"/>
      <c r="B185" s="549"/>
      <c r="C185" s="549"/>
      <c r="D185" s="549"/>
      <c r="E185" s="549"/>
      <c r="F185" s="549"/>
      <c r="G185" s="549"/>
    </row>
    <row r="186" spans="1:7">
      <c r="A186" s="549"/>
      <c r="B186" s="549"/>
      <c r="C186" s="549"/>
      <c r="D186" s="549"/>
      <c r="E186" s="549"/>
      <c r="F186" s="549"/>
      <c r="G186" s="549"/>
    </row>
    <row r="187" spans="1:7">
      <c r="A187" s="549"/>
      <c r="B187" s="549"/>
      <c r="C187" s="549"/>
      <c r="D187" s="549"/>
      <c r="E187" s="549"/>
      <c r="F187" s="549"/>
      <c r="G187" s="549"/>
    </row>
    <row r="188" spans="1:7">
      <c r="A188" s="549"/>
      <c r="B188" s="549"/>
      <c r="C188" s="549"/>
      <c r="D188" s="549"/>
      <c r="E188" s="549"/>
      <c r="F188" s="549"/>
      <c r="G188" s="549"/>
    </row>
    <row r="189" spans="1:7">
      <c r="A189" s="549"/>
      <c r="B189" s="549"/>
      <c r="C189" s="549"/>
      <c r="D189" s="549"/>
      <c r="E189" s="549"/>
      <c r="F189" s="549"/>
      <c r="G189" s="549"/>
    </row>
    <row r="190" spans="1:7">
      <c r="A190" s="549"/>
      <c r="B190" s="549"/>
      <c r="C190" s="549"/>
      <c r="D190" s="549"/>
      <c r="E190" s="549"/>
      <c r="F190" s="549"/>
      <c r="G190" s="549"/>
    </row>
    <row r="191" spans="1:7">
      <c r="A191" s="549"/>
      <c r="B191" s="549"/>
      <c r="C191" s="549"/>
      <c r="D191" s="549"/>
      <c r="E191" s="549"/>
      <c r="F191" s="549"/>
      <c r="G191" s="549"/>
    </row>
    <row r="192" spans="1:7">
      <c r="A192" s="549"/>
      <c r="B192" s="549"/>
      <c r="C192" s="549"/>
      <c r="D192" s="549"/>
      <c r="E192" s="549"/>
      <c r="F192" s="549"/>
      <c r="G192" s="549"/>
    </row>
    <row r="193" spans="1:7">
      <c r="A193" s="549"/>
      <c r="B193" s="549"/>
      <c r="C193" s="549"/>
      <c r="D193" s="549"/>
      <c r="E193" s="549"/>
      <c r="F193" s="549"/>
      <c r="G193" s="549"/>
    </row>
    <row r="194" spans="1:7">
      <c r="A194" s="549"/>
      <c r="B194" s="549"/>
      <c r="C194" s="549"/>
      <c r="D194" s="549"/>
      <c r="E194" s="549"/>
      <c r="F194" s="549"/>
      <c r="G194" s="549"/>
    </row>
    <row r="195" spans="1:7">
      <c r="A195" s="549"/>
      <c r="B195" s="549"/>
      <c r="C195" s="549"/>
      <c r="D195" s="549"/>
      <c r="E195" s="549"/>
      <c r="F195" s="549"/>
      <c r="G195" s="549"/>
    </row>
    <row r="196" spans="1:7">
      <c r="A196" s="549"/>
      <c r="B196" s="549"/>
      <c r="C196" s="549"/>
      <c r="D196" s="549"/>
      <c r="E196" s="549"/>
      <c r="F196" s="549"/>
      <c r="G196" s="549"/>
    </row>
    <row r="197" spans="1:7">
      <c r="A197" s="549"/>
      <c r="B197" s="549"/>
      <c r="C197" s="549"/>
      <c r="D197" s="549"/>
      <c r="E197" s="549"/>
      <c r="F197" s="549"/>
      <c r="G197" s="549"/>
    </row>
    <row r="198" spans="1:7">
      <c r="A198" s="549"/>
      <c r="B198" s="549"/>
      <c r="C198" s="549"/>
      <c r="D198" s="549"/>
      <c r="E198" s="549"/>
      <c r="F198" s="549"/>
      <c r="G198" s="549"/>
    </row>
    <row r="199" spans="1:7">
      <c r="A199" s="549"/>
      <c r="B199" s="549"/>
      <c r="C199" s="549"/>
      <c r="D199" s="549"/>
      <c r="E199" s="549"/>
      <c r="F199" s="549"/>
      <c r="G199" s="549"/>
    </row>
    <row r="200" spans="1:7">
      <c r="A200" s="549"/>
      <c r="B200" s="549"/>
      <c r="C200" s="549"/>
      <c r="D200" s="549"/>
      <c r="E200" s="549"/>
      <c r="F200" s="549"/>
      <c r="G200" s="549"/>
    </row>
    <row r="201" spans="1:7">
      <c r="A201" s="549"/>
      <c r="B201" s="549"/>
      <c r="C201" s="549"/>
      <c r="D201" s="549"/>
      <c r="E201" s="549"/>
      <c r="F201" s="549"/>
      <c r="G201" s="549"/>
    </row>
    <row r="202" spans="1:7">
      <c r="A202" s="549"/>
      <c r="B202" s="549"/>
      <c r="C202" s="549"/>
      <c r="D202" s="549"/>
      <c r="E202" s="549"/>
      <c r="F202" s="549"/>
      <c r="G202" s="549"/>
    </row>
    <row r="203" spans="1:7">
      <c r="A203" s="549"/>
      <c r="B203" s="549"/>
      <c r="C203" s="549"/>
      <c r="D203" s="549"/>
      <c r="E203" s="549"/>
      <c r="F203" s="549"/>
      <c r="G203" s="549"/>
    </row>
    <row r="204" spans="1:7">
      <c r="A204" s="549"/>
      <c r="B204" s="549"/>
      <c r="C204" s="549"/>
      <c r="D204" s="549"/>
      <c r="E204" s="549"/>
      <c r="F204" s="549"/>
      <c r="G204" s="549"/>
    </row>
    <row r="205" spans="1:7">
      <c r="A205" s="549"/>
      <c r="B205" s="549"/>
      <c r="C205" s="549"/>
      <c r="D205" s="549"/>
      <c r="E205" s="549"/>
      <c r="F205" s="549"/>
      <c r="G205" s="549"/>
    </row>
    <row r="206" spans="1:7">
      <c r="A206" s="549"/>
      <c r="B206" s="549"/>
      <c r="C206" s="549"/>
      <c r="D206" s="549"/>
      <c r="E206" s="549"/>
      <c r="F206" s="549"/>
      <c r="G206" s="549"/>
    </row>
    <row r="207" spans="1:7">
      <c r="A207" s="549"/>
      <c r="B207" s="549"/>
      <c r="C207" s="549"/>
      <c r="D207" s="549"/>
      <c r="E207" s="549"/>
      <c r="F207" s="549"/>
      <c r="G207" s="549"/>
    </row>
    <row r="208" spans="1:7">
      <c r="A208" s="549"/>
      <c r="B208" s="549"/>
      <c r="C208" s="549"/>
      <c r="D208" s="549"/>
      <c r="E208" s="549"/>
      <c r="F208" s="549"/>
      <c r="G208" s="549"/>
    </row>
    <row r="209" spans="1:7">
      <c r="A209" s="549"/>
      <c r="B209" s="549"/>
      <c r="C209" s="549"/>
      <c r="D209" s="549"/>
      <c r="E209" s="549"/>
      <c r="F209" s="549"/>
      <c r="G209" s="549"/>
    </row>
    <row r="210" spans="1:7">
      <c r="A210" s="549"/>
      <c r="B210" s="549"/>
      <c r="C210" s="549"/>
      <c r="D210" s="549"/>
      <c r="E210" s="549"/>
      <c r="F210" s="549"/>
      <c r="G210" s="549"/>
    </row>
    <row r="211" spans="1:7">
      <c r="A211" s="549"/>
      <c r="B211" s="549"/>
      <c r="C211" s="549"/>
      <c r="D211" s="549"/>
      <c r="E211" s="549"/>
      <c r="F211" s="549"/>
      <c r="G211" s="549"/>
    </row>
    <row r="212" spans="1:7">
      <c r="A212" s="549"/>
      <c r="B212" s="549"/>
      <c r="C212" s="549"/>
      <c r="D212" s="549"/>
      <c r="E212" s="549"/>
      <c r="F212" s="549"/>
      <c r="G212" s="549"/>
    </row>
    <row r="213" spans="1:7">
      <c r="A213" s="549"/>
      <c r="B213" s="549"/>
      <c r="C213" s="549"/>
      <c r="D213" s="549"/>
      <c r="E213" s="549"/>
      <c r="F213" s="549"/>
      <c r="G213" s="549"/>
    </row>
    <row r="214" spans="1:7">
      <c r="A214" s="549"/>
      <c r="B214" s="549"/>
      <c r="C214" s="549"/>
      <c r="D214" s="549"/>
      <c r="E214" s="549"/>
      <c r="F214" s="549"/>
      <c r="G214" s="549"/>
    </row>
    <row r="215" spans="1:7">
      <c r="A215" s="549"/>
      <c r="B215" s="549"/>
      <c r="C215" s="549"/>
      <c r="D215" s="549"/>
      <c r="E215" s="549"/>
      <c r="F215" s="549"/>
      <c r="G215" s="549"/>
    </row>
    <row r="216" spans="1:7">
      <c r="A216" s="549"/>
      <c r="B216" s="549"/>
      <c r="C216" s="549"/>
      <c r="D216" s="549"/>
      <c r="E216" s="549"/>
      <c r="F216" s="549"/>
      <c r="G216" s="549"/>
    </row>
    <row r="217" spans="1:7">
      <c r="A217" s="549"/>
      <c r="B217" s="549"/>
      <c r="C217" s="549"/>
      <c r="D217" s="549"/>
      <c r="E217" s="549"/>
      <c r="F217" s="549"/>
      <c r="G217" s="549"/>
    </row>
    <row r="218" spans="1:7">
      <c r="A218" s="549"/>
      <c r="B218" s="549"/>
      <c r="C218" s="549"/>
      <c r="D218" s="549"/>
      <c r="E218" s="549"/>
      <c r="F218" s="549"/>
      <c r="G218" s="549"/>
    </row>
    <row r="219" spans="1:7">
      <c r="A219" s="549"/>
      <c r="B219" s="549"/>
      <c r="C219" s="549"/>
      <c r="D219" s="549"/>
      <c r="E219" s="549"/>
      <c r="F219" s="549"/>
      <c r="G219" s="549"/>
    </row>
    <row r="220" spans="1:7">
      <c r="A220" s="549"/>
      <c r="B220" s="549"/>
      <c r="C220" s="549"/>
      <c r="D220" s="549"/>
      <c r="E220" s="549"/>
      <c r="F220" s="549"/>
      <c r="G220" s="549"/>
    </row>
    <row r="221" spans="1:7">
      <c r="A221" s="549"/>
      <c r="B221" s="549"/>
      <c r="C221" s="549"/>
      <c r="D221" s="549"/>
      <c r="E221" s="549"/>
      <c r="F221" s="549"/>
      <c r="G221" s="549"/>
    </row>
    <row r="222" spans="1:7">
      <c r="A222" s="549"/>
      <c r="B222" s="549"/>
      <c r="C222" s="549"/>
      <c r="D222" s="549"/>
      <c r="E222" s="549"/>
      <c r="F222" s="549"/>
      <c r="G222" s="549"/>
    </row>
    <row r="223" spans="1:7">
      <c r="A223" s="549"/>
      <c r="B223" s="549"/>
      <c r="C223" s="549"/>
      <c r="D223" s="549"/>
      <c r="E223" s="549"/>
      <c r="F223" s="549"/>
      <c r="G223" s="549"/>
    </row>
    <row r="224" spans="1:7">
      <c r="A224" s="549"/>
      <c r="B224" s="549"/>
      <c r="C224" s="549"/>
      <c r="D224" s="549"/>
      <c r="E224" s="549"/>
      <c r="F224" s="549"/>
      <c r="G224" s="549"/>
    </row>
    <row r="225" spans="1:7">
      <c r="A225" s="549"/>
      <c r="B225" s="549"/>
      <c r="C225" s="549"/>
      <c r="D225" s="549"/>
      <c r="E225" s="549"/>
      <c r="F225" s="549"/>
      <c r="G225" s="549"/>
    </row>
    <row r="226" spans="1:7">
      <c r="A226" s="549"/>
      <c r="B226" s="549"/>
      <c r="C226" s="549"/>
      <c r="D226" s="549"/>
      <c r="E226" s="549"/>
      <c r="F226" s="549"/>
      <c r="G226" s="549"/>
    </row>
    <row r="227" spans="1:7">
      <c r="A227" s="549"/>
      <c r="B227" s="549"/>
      <c r="C227" s="549"/>
      <c r="D227" s="549"/>
      <c r="E227" s="549"/>
      <c r="F227" s="549"/>
      <c r="G227" s="549"/>
    </row>
    <row r="228" spans="1:7">
      <c r="A228" s="549"/>
      <c r="B228" s="549"/>
      <c r="C228" s="549"/>
      <c r="D228" s="549"/>
      <c r="E228" s="549"/>
      <c r="F228" s="549"/>
      <c r="G228" s="549"/>
    </row>
    <row r="229" spans="1:7">
      <c r="A229" s="549"/>
      <c r="B229" s="549"/>
      <c r="C229" s="549"/>
      <c r="D229" s="549"/>
      <c r="E229" s="549"/>
      <c r="F229" s="549"/>
      <c r="G229" s="549"/>
    </row>
    <row r="230" spans="1:7">
      <c r="A230" s="549"/>
      <c r="B230" s="549"/>
      <c r="C230" s="549"/>
      <c r="D230" s="549"/>
      <c r="E230" s="549"/>
      <c r="F230" s="549"/>
      <c r="G230" s="549"/>
    </row>
    <row r="231" spans="1:7">
      <c r="A231" s="549"/>
      <c r="B231" s="549"/>
      <c r="C231" s="549"/>
      <c r="D231" s="549"/>
      <c r="E231" s="549"/>
      <c r="F231" s="549"/>
      <c r="G231" s="549"/>
    </row>
    <row r="232" spans="1:7">
      <c r="A232" s="549"/>
      <c r="B232" s="549"/>
      <c r="C232" s="549"/>
      <c r="D232" s="549"/>
      <c r="E232" s="549"/>
      <c r="F232" s="549"/>
      <c r="G232" s="549"/>
    </row>
    <row r="233" spans="1:7">
      <c r="A233" s="549"/>
      <c r="B233" s="549"/>
      <c r="C233" s="549"/>
      <c r="D233" s="549"/>
      <c r="E233" s="549"/>
      <c r="F233" s="549"/>
      <c r="G233" s="549"/>
    </row>
    <row r="234" spans="1:7">
      <c r="A234" s="549"/>
      <c r="B234" s="549"/>
      <c r="C234" s="549"/>
      <c r="D234" s="549"/>
      <c r="E234" s="549"/>
      <c r="F234" s="549"/>
      <c r="G234" s="549"/>
    </row>
    <row r="235" spans="1:7">
      <c r="A235" s="549"/>
      <c r="B235" s="549"/>
      <c r="C235" s="549"/>
      <c r="D235" s="549"/>
      <c r="E235" s="549"/>
      <c r="F235" s="549"/>
      <c r="G235" s="549"/>
    </row>
    <row r="236" spans="1:7">
      <c r="A236" s="549"/>
      <c r="B236" s="549"/>
      <c r="C236" s="549"/>
      <c r="D236" s="549"/>
      <c r="E236" s="549"/>
      <c r="F236" s="549"/>
      <c r="G236" s="549"/>
    </row>
    <row r="237" spans="1:7">
      <c r="A237" s="549"/>
      <c r="B237" s="549"/>
      <c r="C237" s="549"/>
      <c r="D237" s="549"/>
      <c r="E237" s="549"/>
      <c r="F237" s="549"/>
      <c r="G237" s="549"/>
    </row>
    <row r="238" spans="1:7">
      <c r="A238" s="549"/>
      <c r="B238" s="549"/>
      <c r="C238" s="549"/>
      <c r="D238" s="549"/>
      <c r="E238" s="549"/>
      <c r="F238" s="549"/>
      <c r="G238" s="549"/>
    </row>
    <row r="239" spans="1:7">
      <c r="A239" s="549"/>
      <c r="B239" s="549"/>
      <c r="C239" s="549"/>
      <c r="D239" s="549"/>
      <c r="E239" s="549"/>
      <c r="F239" s="549"/>
      <c r="G239" s="549"/>
    </row>
    <row r="240" spans="1:7">
      <c r="A240" s="549"/>
      <c r="B240" s="549"/>
      <c r="C240" s="549"/>
      <c r="D240" s="549"/>
      <c r="E240" s="549"/>
      <c r="F240" s="549"/>
      <c r="G240" s="549"/>
    </row>
    <row r="241" spans="1:7">
      <c r="A241" s="549"/>
      <c r="B241" s="549"/>
      <c r="C241" s="549"/>
      <c r="D241" s="549"/>
      <c r="E241" s="549"/>
      <c r="F241" s="549"/>
      <c r="G241" s="549"/>
    </row>
    <row r="242" spans="1:7">
      <c r="A242" s="549"/>
      <c r="B242" s="549"/>
      <c r="C242" s="549"/>
      <c r="D242" s="549"/>
      <c r="E242" s="549"/>
      <c r="F242" s="549"/>
      <c r="G242" s="549"/>
    </row>
    <row r="243" spans="1:7">
      <c r="A243" s="549"/>
      <c r="B243" s="549"/>
      <c r="C243" s="549"/>
      <c r="D243" s="549"/>
      <c r="E243" s="549"/>
      <c r="F243" s="549"/>
      <c r="G243" s="549"/>
    </row>
    <row r="244" spans="1:7">
      <c r="A244" s="549"/>
      <c r="B244" s="549"/>
      <c r="C244" s="549"/>
      <c r="D244" s="549"/>
      <c r="E244" s="549"/>
      <c r="F244" s="549"/>
      <c r="G244" s="549"/>
    </row>
    <row r="245" spans="1:7">
      <c r="A245" s="549"/>
      <c r="B245" s="549"/>
      <c r="C245" s="549"/>
      <c r="D245" s="549"/>
      <c r="E245" s="549"/>
      <c r="F245" s="549"/>
      <c r="G245" s="549"/>
    </row>
    <row r="246" spans="1:7">
      <c r="A246" s="549"/>
      <c r="B246" s="549"/>
      <c r="C246" s="549"/>
      <c r="D246" s="549"/>
      <c r="E246" s="549"/>
      <c r="F246" s="549"/>
      <c r="G246" s="549"/>
    </row>
    <row r="247" spans="1:7">
      <c r="A247" s="549"/>
      <c r="B247" s="549"/>
      <c r="C247" s="549"/>
      <c r="D247" s="549"/>
      <c r="E247" s="549"/>
      <c r="F247" s="549"/>
      <c r="G247" s="549"/>
    </row>
    <row r="248" spans="1:7">
      <c r="A248" s="549"/>
      <c r="B248" s="549"/>
      <c r="C248" s="549"/>
      <c r="D248" s="549"/>
      <c r="E248" s="549"/>
      <c r="F248" s="549"/>
      <c r="G248" s="549"/>
    </row>
    <row r="249" spans="1:7">
      <c r="A249" s="549"/>
      <c r="B249" s="549"/>
      <c r="C249" s="549"/>
      <c r="D249" s="549"/>
      <c r="E249" s="549"/>
      <c r="F249" s="549"/>
      <c r="G249" s="549"/>
    </row>
    <row r="250" spans="1:7">
      <c r="A250" s="549"/>
      <c r="B250" s="549"/>
      <c r="C250" s="549"/>
      <c r="D250" s="549"/>
      <c r="E250" s="549"/>
      <c r="F250" s="549"/>
      <c r="G250" s="549"/>
    </row>
    <row r="251" spans="1:7">
      <c r="A251" s="549"/>
      <c r="B251" s="549"/>
      <c r="C251" s="549"/>
      <c r="D251" s="549"/>
      <c r="E251" s="549"/>
      <c r="F251" s="549"/>
      <c r="G251" s="549"/>
    </row>
    <row r="252" spans="1:7">
      <c r="A252" s="549"/>
      <c r="B252" s="549"/>
      <c r="C252" s="549"/>
      <c r="D252" s="549"/>
      <c r="E252" s="549"/>
      <c r="F252" s="549"/>
      <c r="G252" s="549"/>
    </row>
    <row r="253" spans="1:7">
      <c r="A253" s="549"/>
      <c r="B253" s="549"/>
      <c r="C253" s="549"/>
      <c r="D253" s="549"/>
      <c r="E253" s="549"/>
      <c r="F253" s="549"/>
      <c r="G253" s="549"/>
    </row>
    <row r="254" spans="1:7">
      <c r="A254" s="549"/>
      <c r="B254" s="549"/>
      <c r="C254" s="549"/>
      <c r="D254" s="549"/>
      <c r="E254" s="549"/>
      <c r="F254" s="549"/>
      <c r="G254" s="549"/>
    </row>
    <row r="255" spans="1:7">
      <c r="A255" s="549"/>
      <c r="B255" s="549"/>
      <c r="C255" s="549"/>
      <c r="D255" s="549"/>
      <c r="E255" s="549"/>
      <c r="F255" s="549"/>
      <c r="G255" s="549"/>
    </row>
    <row r="256" spans="1:7">
      <c r="A256" s="549"/>
      <c r="B256" s="549"/>
      <c r="C256" s="549"/>
      <c r="D256" s="549"/>
      <c r="E256" s="549"/>
      <c r="F256" s="549"/>
      <c r="G256" s="549"/>
    </row>
    <row r="257" spans="1:7">
      <c r="A257" s="549"/>
      <c r="B257" s="549"/>
      <c r="C257" s="549"/>
      <c r="D257" s="549"/>
      <c r="E257" s="549"/>
      <c r="F257" s="549"/>
      <c r="G257" s="549"/>
    </row>
    <row r="258" spans="1:7">
      <c r="A258" s="549"/>
      <c r="B258" s="549"/>
      <c r="C258" s="549"/>
      <c r="D258" s="549"/>
      <c r="E258" s="549"/>
      <c r="F258" s="549"/>
      <c r="G258" s="549"/>
    </row>
    <row r="259" spans="1:7">
      <c r="A259" s="549"/>
      <c r="B259" s="549"/>
      <c r="C259" s="549"/>
      <c r="D259" s="549"/>
      <c r="E259" s="549"/>
      <c r="F259" s="549"/>
      <c r="G259" s="549"/>
    </row>
    <row r="260" spans="1:7">
      <c r="A260" s="549"/>
      <c r="B260" s="549"/>
      <c r="C260" s="549"/>
      <c r="D260" s="549"/>
      <c r="E260" s="549"/>
      <c r="F260" s="549"/>
      <c r="G260" s="549"/>
    </row>
    <row r="261" spans="1:7">
      <c r="A261" s="549"/>
      <c r="B261" s="549"/>
      <c r="C261" s="549"/>
      <c r="D261" s="549"/>
      <c r="E261" s="549"/>
      <c r="F261" s="549"/>
      <c r="G261" s="549"/>
    </row>
    <row r="262" spans="1:7">
      <c r="A262" s="549"/>
      <c r="B262" s="549"/>
      <c r="C262" s="549"/>
      <c r="D262" s="549"/>
      <c r="E262" s="549"/>
      <c r="F262" s="549"/>
      <c r="G262" s="549"/>
    </row>
    <row r="263" spans="1:7">
      <c r="A263" s="549"/>
      <c r="B263" s="549"/>
      <c r="C263" s="549"/>
      <c r="D263" s="549"/>
      <c r="E263" s="549"/>
      <c r="F263" s="549"/>
      <c r="G263" s="549"/>
    </row>
    <row r="264" spans="1:7">
      <c r="A264" s="549"/>
      <c r="B264" s="549"/>
      <c r="C264" s="549"/>
      <c r="D264" s="549"/>
      <c r="E264" s="549"/>
      <c r="F264" s="549"/>
      <c r="G264" s="549"/>
    </row>
    <row r="265" spans="1:7">
      <c r="A265" s="549"/>
      <c r="B265" s="549"/>
      <c r="C265" s="549"/>
      <c r="D265" s="549"/>
      <c r="E265" s="549"/>
      <c r="F265" s="549"/>
      <c r="G265" s="549"/>
    </row>
    <row r="266" spans="1:7">
      <c r="A266" s="549"/>
      <c r="B266" s="549"/>
      <c r="C266" s="549"/>
      <c r="D266" s="549"/>
      <c r="E266" s="549"/>
      <c r="F266" s="549"/>
      <c r="G266" s="549"/>
    </row>
    <row r="267" spans="1:7">
      <c r="A267" s="549"/>
      <c r="B267" s="549"/>
      <c r="C267" s="549"/>
      <c r="D267" s="549"/>
      <c r="E267" s="549"/>
      <c r="F267" s="549"/>
      <c r="G267" s="549"/>
    </row>
    <row r="268" spans="1:7">
      <c r="A268" s="549"/>
      <c r="B268" s="549"/>
      <c r="C268" s="549"/>
      <c r="D268" s="549"/>
      <c r="E268" s="549"/>
      <c r="F268" s="549"/>
      <c r="G268" s="549"/>
    </row>
    <row r="269" spans="1:7">
      <c r="A269" s="549"/>
      <c r="B269" s="549"/>
      <c r="C269" s="549"/>
      <c r="D269" s="549"/>
      <c r="E269" s="549"/>
      <c r="F269" s="549"/>
      <c r="G269" s="549"/>
    </row>
    <row r="270" spans="1:7">
      <c r="A270" s="549"/>
      <c r="B270" s="549"/>
      <c r="C270" s="549"/>
      <c r="D270" s="549"/>
      <c r="E270" s="549"/>
      <c r="F270" s="549"/>
      <c r="G270" s="549"/>
    </row>
    <row r="271" spans="1:7">
      <c r="A271" s="549"/>
      <c r="B271" s="549"/>
      <c r="C271" s="549"/>
      <c r="D271" s="549"/>
      <c r="E271" s="549"/>
      <c r="F271" s="549"/>
      <c r="G271" s="549"/>
    </row>
    <row r="272" spans="1:7">
      <c r="A272" s="549"/>
      <c r="B272" s="549"/>
      <c r="C272" s="549"/>
      <c r="D272" s="549"/>
      <c r="E272" s="549"/>
      <c r="F272" s="549"/>
      <c r="G272" s="549"/>
    </row>
    <row r="273" spans="1:7">
      <c r="A273" s="549"/>
      <c r="B273" s="549"/>
      <c r="C273" s="549"/>
      <c r="D273" s="549"/>
      <c r="E273" s="549"/>
      <c r="F273" s="549"/>
      <c r="G273" s="549"/>
    </row>
    <row r="274" spans="1:7">
      <c r="A274" s="549"/>
      <c r="B274" s="549"/>
      <c r="C274" s="549"/>
      <c r="D274" s="549"/>
      <c r="E274" s="549"/>
      <c r="F274" s="549"/>
      <c r="G274" s="549"/>
    </row>
    <row r="275" spans="1:7">
      <c r="A275" s="549"/>
      <c r="B275" s="549"/>
      <c r="C275" s="549"/>
      <c r="D275" s="549"/>
      <c r="E275" s="549"/>
      <c r="F275" s="549"/>
      <c r="G275" s="549"/>
    </row>
    <row r="276" spans="1:7">
      <c r="A276" s="549"/>
      <c r="B276" s="549"/>
      <c r="C276" s="549"/>
      <c r="D276" s="549"/>
      <c r="E276" s="549"/>
      <c r="F276" s="549"/>
      <c r="G276" s="549"/>
    </row>
    <row r="277" spans="1:7">
      <c r="A277" s="549"/>
      <c r="B277" s="549"/>
      <c r="C277" s="549"/>
      <c r="D277" s="549"/>
      <c r="E277" s="549"/>
      <c r="F277" s="549"/>
      <c r="G277" s="549"/>
    </row>
    <row r="278" spans="1:7">
      <c r="A278" s="549"/>
      <c r="B278" s="549"/>
      <c r="C278" s="549"/>
      <c r="D278" s="549"/>
      <c r="E278" s="549"/>
      <c r="F278" s="549"/>
      <c r="G278" s="549"/>
    </row>
    <row r="279" spans="1:7">
      <c r="A279" s="549"/>
      <c r="B279" s="549"/>
      <c r="C279" s="549"/>
      <c r="D279" s="549"/>
      <c r="E279" s="549"/>
      <c r="F279" s="549"/>
      <c r="G279" s="549"/>
    </row>
    <row r="280" spans="1:7">
      <c r="A280" s="549"/>
      <c r="B280" s="549"/>
      <c r="C280" s="549"/>
      <c r="D280" s="549"/>
      <c r="E280" s="549"/>
      <c r="F280" s="549"/>
      <c r="G280" s="549"/>
    </row>
    <row r="281" spans="1:7">
      <c r="A281" s="549"/>
      <c r="B281" s="549"/>
      <c r="C281" s="549"/>
      <c r="D281" s="549"/>
      <c r="E281" s="549"/>
      <c r="F281" s="549"/>
      <c r="G281" s="549"/>
    </row>
    <row r="282" spans="1:7">
      <c r="A282" s="549"/>
      <c r="B282" s="549"/>
      <c r="C282" s="549"/>
      <c r="D282" s="549"/>
      <c r="E282" s="549"/>
      <c r="F282" s="549"/>
      <c r="G282" s="549"/>
    </row>
    <row r="283" spans="1:7">
      <c r="A283" s="549"/>
      <c r="B283" s="549"/>
      <c r="C283" s="549"/>
      <c r="D283" s="549"/>
      <c r="E283" s="549"/>
      <c r="F283" s="549"/>
      <c r="G283" s="549"/>
    </row>
    <row r="284" spans="1:7">
      <c r="A284" s="549"/>
      <c r="B284" s="549"/>
      <c r="C284" s="549"/>
      <c r="D284" s="549"/>
      <c r="E284" s="549"/>
      <c r="F284" s="549"/>
      <c r="G284" s="549"/>
    </row>
    <row r="285" spans="1:7">
      <c r="A285" s="549"/>
      <c r="B285" s="549"/>
      <c r="C285" s="549"/>
      <c r="D285" s="549"/>
      <c r="E285" s="549"/>
      <c r="F285" s="549"/>
      <c r="G285" s="549"/>
    </row>
    <row r="286" spans="1:7">
      <c r="A286" s="549"/>
      <c r="B286" s="549"/>
      <c r="C286" s="549"/>
      <c r="D286" s="549"/>
      <c r="E286" s="549"/>
      <c r="F286" s="549"/>
      <c r="G286" s="549"/>
    </row>
    <row r="287" spans="1:7">
      <c r="A287" s="549"/>
      <c r="B287" s="549"/>
      <c r="C287" s="549"/>
      <c r="D287" s="549"/>
      <c r="E287" s="549"/>
      <c r="F287" s="549"/>
      <c r="G287" s="549"/>
    </row>
    <row r="288" spans="1:7">
      <c r="A288" s="549"/>
      <c r="B288" s="549"/>
      <c r="C288" s="549"/>
      <c r="D288" s="549"/>
      <c r="E288" s="549"/>
      <c r="F288" s="549"/>
      <c r="G288" s="549"/>
    </row>
    <row r="289" spans="1:7">
      <c r="A289" s="549"/>
      <c r="B289" s="549"/>
      <c r="C289" s="549"/>
      <c r="D289" s="549"/>
      <c r="E289" s="549"/>
      <c r="F289" s="549"/>
      <c r="G289" s="549"/>
    </row>
    <row r="290" spans="1:7">
      <c r="A290" s="549"/>
      <c r="B290" s="549"/>
      <c r="C290" s="549"/>
      <c r="D290" s="549"/>
      <c r="E290" s="549"/>
      <c r="F290" s="549"/>
      <c r="G290" s="549"/>
    </row>
    <row r="291" spans="1:7">
      <c r="A291" s="549"/>
      <c r="B291" s="549"/>
      <c r="C291" s="549"/>
      <c r="D291" s="549"/>
      <c r="E291" s="549"/>
      <c r="F291" s="549"/>
      <c r="G291" s="549"/>
    </row>
    <row r="292" spans="1:7">
      <c r="A292" s="549"/>
      <c r="B292" s="549"/>
      <c r="C292" s="549"/>
      <c r="D292" s="549"/>
      <c r="E292" s="549"/>
      <c r="F292" s="549"/>
      <c r="G292" s="549"/>
    </row>
    <row r="293" spans="1:7">
      <c r="A293" s="549"/>
      <c r="B293" s="549"/>
      <c r="C293" s="549"/>
      <c r="D293" s="549"/>
      <c r="E293" s="549"/>
      <c r="F293" s="549"/>
      <c r="G293" s="549"/>
    </row>
    <row r="294" spans="1:7">
      <c r="A294" s="549"/>
      <c r="B294" s="549"/>
      <c r="C294" s="549"/>
      <c r="D294" s="549"/>
      <c r="E294" s="549"/>
      <c r="F294" s="549"/>
      <c r="G294" s="549"/>
    </row>
    <row r="295" spans="1:7">
      <c r="A295" s="549"/>
      <c r="B295" s="549"/>
      <c r="C295" s="549"/>
      <c r="D295" s="549"/>
      <c r="E295" s="549"/>
      <c r="F295" s="549"/>
      <c r="G295" s="549"/>
    </row>
    <row r="296" spans="1:7">
      <c r="A296" s="549"/>
      <c r="B296" s="549"/>
      <c r="C296" s="549"/>
      <c r="D296" s="549"/>
      <c r="E296" s="549"/>
      <c r="F296" s="549"/>
      <c r="G296" s="549"/>
    </row>
    <row r="297" spans="1:7">
      <c r="A297" s="549"/>
      <c r="B297" s="549"/>
      <c r="C297" s="549"/>
      <c r="D297" s="549"/>
      <c r="E297" s="549"/>
      <c r="F297" s="549"/>
      <c r="G297" s="549"/>
    </row>
    <row r="298" spans="1:7">
      <c r="A298" s="549"/>
      <c r="B298" s="549"/>
      <c r="C298" s="549"/>
      <c r="D298" s="549"/>
      <c r="E298" s="549"/>
      <c r="F298" s="549"/>
      <c r="G298" s="549"/>
    </row>
    <row r="299" spans="1:7">
      <c r="A299" s="549"/>
      <c r="B299" s="549"/>
      <c r="C299" s="549"/>
      <c r="D299" s="549"/>
      <c r="E299" s="549"/>
      <c r="F299" s="549"/>
      <c r="G299" s="549"/>
    </row>
    <row r="300" spans="1:7">
      <c r="A300" s="549"/>
      <c r="B300" s="549"/>
      <c r="C300" s="549"/>
      <c r="D300" s="549"/>
      <c r="E300" s="549"/>
      <c r="F300" s="549"/>
      <c r="G300" s="549"/>
    </row>
    <row r="301" spans="1:7">
      <c r="A301" s="549"/>
      <c r="B301" s="549"/>
      <c r="C301" s="549"/>
      <c r="D301" s="549"/>
      <c r="E301" s="549"/>
      <c r="F301" s="549"/>
      <c r="G301" s="549"/>
    </row>
    <row r="302" spans="1:7">
      <c r="A302" s="549"/>
      <c r="B302" s="549"/>
      <c r="C302" s="549"/>
      <c r="D302" s="549"/>
      <c r="E302" s="549"/>
      <c r="F302" s="549"/>
      <c r="G302" s="549"/>
    </row>
    <row r="303" spans="1:7">
      <c r="A303" s="549"/>
      <c r="B303" s="549"/>
      <c r="C303" s="549"/>
      <c r="D303" s="549"/>
      <c r="E303" s="549"/>
      <c r="F303" s="549"/>
      <c r="G303" s="549"/>
    </row>
    <row r="304" spans="1:7">
      <c r="A304" s="549"/>
      <c r="B304" s="549"/>
      <c r="C304" s="549"/>
      <c r="D304" s="549"/>
      <c r="E304" s="549"/>
      <c r="F304" s="549"/>
      <c r="G304" s="549"/>
    </row>
    <row r="305" spans="1:7">
      <c r="A305" s="549"/>
      <c r="B305" s="549"/>
      <c r="C305" s="549"/>
      <c r="D305" s="549"/>
      <c r="E305" s="549"/>
      <c r="F305" s="549"/>
      <c r="G305" s="549"/>
    </row>
    <row r="306" spans="1:7">
      <c r="A306" s="549"/>
      <c r="B306" s="549"/>
      <c r="C306" s="549"/>
      <c r="D306" s="549"/>
      <c r="E306" s="549"/>
      <c r="F306" s="549"/>
      <c r="G306" s="549"/>
    </row>
    <row r="307" spans="1:7">
      <c r="A307" s="549"/>
      <c r="B307" s="549"/>
      <c r="C307" s="549"/>
      <c r="D307" s="549"/>
      <c r="E307" s="549"/>
      <c r="F307" s="549"/>
      <c r="G307" s="549"/>
    </row>
    <row r="308" spans="1:7">
      <c r="A308" s="549"/>
      <c r="B308" s="549"/>
      <c r="C308" s="549"/>
      <c r="D308" s="549"/>
      <c r="E308" s="549"/>
      <c r="F308" s="549"/>
      <c r="G308" s="549"/>
    </row>
    <row r="309" spans="1:7">
      <c r="A309" s="549"/>
      <c r="B309" s="549"/>
      <c r="C309" s="549"/>
      <c r="D309" s="549"/>
      <c r="E309" s="549"/>
      <c r="F309" s="549"/>
      <c r="G309" s="549"/>
    </row>
    <row r="310" spans="1:7">
      <c r="A310" s="549"/>
      <c r="B310" s="549"/>
      <c r="C310" s="549"/>
      <c r="D310" s="549"/>
      <c r="E310" s="549"/>
      <c r="F310" s="549"/>
      <c r="G310" s="549"/>
    </row>
    <row r="311" spans="1:7">
      <c r="A311" s="549"/>
      <c r="B311" s="549"/>
      <c r="C311" s="549"/>
      <c r="D311" s="549"/>
      <c r="E311" s="549"/>
      <c r="F311" s="549"/>
      <c r="G311" s="549"/>
    </row>
    <row r="312" spans="1:7">
      <c r="A312" s="549"/>
      <c r="B312" s="549"/>
      <c r="C312" s="549"/>
      <c r="D312" s="549"/>
      <c r="E312" s="549"/>
      <c r="F312" s="549"/>
      <c r="G312" s="549"/>
    </row>
    <row r="313" spans="1:7">
      <c r="A313" s="549"/>
      <c r="B313" s="549"/>
      <c r="C313" s="549"/>
      <c r="D313" s="549"/>
      <c r="E313" s="549"/>
      <c r="F313" s="549"/>
      <c r="G313" s="549"/>
    </row>
    <row r="314" spans="1:7">
      <c r="A314" s="549"/>
      <c r="B314" s="549"/>
      <c r="C314" s="549"/>
      <c r="D314" s="549"/>
      <c r="E314" s="549"/>
      <c r="F314" s="549"/>
      <c r="G314" s="549"/>
    </row>
    <row r="315" spans="1:7">
      <c r="A315" s="549"/>
      <c r="B315" s="549"/>
      <c r="C315" s="549"/>
      <c r="D315" s="549"/>
      <c r="E315" s="549"/>
      <c r="F315" s="549"/>
      <c r="G315" s="549"/>
    </row>
    <row r="316" spans="1:7">
      <c r="A316" s="549"/>
      <c r="B316" s="549"/>
      <c r="C316" s="549"/>
      <c r="D316" s="549"/>
      <c r="E316" s="549"/>
      <c r="F316" s="549"/>
      <c r="G316" s="549"/>
    </row>
    <row r="317" spans="1:7">
      <c r="A317" s="549"/>
      <c r="B317" s="549"/>
      <c r="C317" s="549"/>
      <c r="D317" s="549"/>
      <c r="E317" s="549"/>
      <c r="F317" s="549"/>
      <c r="G317" s="549"/>
    </row>
    <row r="318" spans="1:7">
      <c r="A318" s="549"/>
      <c r="B318" s="549"/>
      <c r="C318" s="549"/>
      <c r="D318" s="549"/>
      <c r="E318" s="549"/>
      <c r="F318" s="549"/>
      <c r="G318" s="549"/>
    </row>
    <row r="319" spans="1:7">
      <c r="A319" s="549"/>
      <c r="B319" s="549"/>
      <c r="C319" s="549"/>
      <c r="D319" s="549"/>
      <c r="E319" s="549"/>
      <c r="F319" s="549"/>
      <c r="G319" s="549"/>
    </row>
    <row r="320" spans="1:7">
      <c r="A320" s="549"/>
      <c r="B320" s="549"/>
      <c r="C320" s="549"/>
      <c r="D320" s="549"/>
      <c r="E320" s="549"/>
      <c r="F320" s="549"/>
      <c r="G320" s="549"/>
    </row>
    <row r="321" spans="1:7">
      <c r="A321" s="549"/>
      <c r="B321" s="549"/>
      <c r="C321" s="549"/>
      <c r="D321" s="549"/>
      <c r="E321" s="549"/>
      <c r="F321" s="549"/>
      <c r="G321" s="549"/>
    </row>
    <row r="322" spans="1:7">
      <c r="A322" s="549"/>
      <c r="B322" s="549"/>
      <c r="C322" s="549"/>
      <c r="D322" s="549"/>
      <c r="E322" s="549"/>
      <c r="F322" s="549"/>
      <c r="G322" s="549"/>
    </row>
    <row r="323" spans="1:7">
      <c r="A323" s="549"/>
      <c r="B323" s="549"/>
      <c r="C323" s="549"/>
      <c r="D323" s="549"/>
      <c r="E323" s="549"/>
      <c r="F323" s="549"/>
      <c r="G323" s="549"/>
    </row>
    <row r="324" spans="1:7">
      <c r="A324" s="549"/>
      <c r="B324" s="549"/>
      <c r="C324" s="549"/>
      <c r="D324" s="549"/>
      <c r="E324" s="549"/>
      <c r="F324" s="549"/>
      <c r="G324" s="549"/>
    </row>
    <row r="325" spans="1:7">
      <c r="A325" s="549"/>
      <c r="B325" s="549"/>
      <c r="C325" s="549"/>
      <c r="D325" s="549"/>
      <c r="E325" s="549"/>
      <c r="F325" s="549"/>
      <c r="G325" s="549"/>
    </row>
    <row r="326" spans="1:7">
      <c r="A326" s="549"/>
      <c r="B326" s="549"/>
      <c r="C326" s="549"/>
      <c r="D326" s="549"/>
      <c r="E326" s="549"/>
      <c r="F326" s="549"/>
      <c r="G326" s="549"/>
    </row>
    <row r="327" spans="1:7">
      <c r="A327" s="549"/>
      <c r="B327" s="549"/>
      <c r="C327" s="549"/>
      <c r="D327" s="549"/>
      <c r="E327" s="549"/>
      <c r="F327" s="549"/>
      <c r="G327" s="549"/>
    </row>
    <row r="328" spans="1:7">
      <c r="A328" s="549"/>
      <c r="B328" s="549"/>
      <c r="C328" s="549"/>
      <c r="D328" s="549"/>
      <c r="E328" s="549"/>
      <c r="F328" s="549"/>
      <c r="G328" s="549"/>
    </row>
    <row r="329" spans="1:7">
      <c r="A329" s="549"/>
      <c r="B329" s="549"/>
      <c r="C329" s="549"/>
      <c r="D329" s="549"/>
      <c r="E329" s="549"/>
      <c r="F329" s="549"/>
      <c r="G329" s="549"/>
    </row>
    <row r="330" spans="1:7">
      <c r="A330" s="549"/>
      <c r="B330" s="549"/>
      <c r="C330" s="549"/>
      <c r="D330" s="549"/>
      <c r="E330" s="549"/>
      <c r="F330" s="549"/>
      <c r="G330" s="549"/>
    </row>
    <row r="331" spans="1:7">
      <c r="A331" s="549"/>
      <c r="B331" s="549"/>
      <c r="C331" s="549"/>
      <c r="D331" s="549"/>
      <c r="E331" s="549"/>
      <c r="F331" s="549"/>
      <c r="G331" s="549"/>
    </row>
    <row r="332" spans="1:7">
      <c r="A332" s="549"/>
      <c r="B332" s="549"/>
      <c r="C332" s="549"/>
      <c r="D332" s="549"/>
      <c r="E332" s="549"/>
      <c r="F332" s="549"/>
      <c r="G332" s="549"/>
    </row>
    <row r="333" spans="1:7">
      <c r="A333" s="549"/>
      <c r="B333" s="549"/>
      <c r="C333" s="549"/>
      <c r="D333" s="549"/>
      <c r="E333" s="549"/>
      <c r="F333" s="549"/>
      <c r="G333" s="549"/>
    </row>
    <row r="334" spans="1:7">
      <c r="A334" s="549"/>
      <c r="B334" s="549"/>
      <c r="C334" s="549"/>
      <c r="D334" s="549"/>
      <c r="E334" s="549"/>
      <c r="F334" s="549"/>
      <c r="G334" s="549"/>
    </row>
    <row r="335" spans="1:7">
      <c r="A335" s="549"/>
      <c r="B335" s="549"/>
      <c r="C335" s="549"/>
      <c r="D335" s="549"/>
      <c r="E335" s="549"/>
      <c r="F335" s="549"/>
      <c r="G335" s="549"/>
    </row>
    <row r="336" spans="1:7">
      <c r="A336" s="549"/>
      <c r="B336" s="549"/>
      <c r="C336" s="549"/>
      <c r="D336" s="549"/>
      <c r="E336" s="549"/>
      <c r="F336" s="549"/>
      <c r="G336" s="549"/>
    </row>
    <row r="337" spans="1:7">
      <c r="A337" s="549"/>
      <c r="B337" s="549"/>
      <c r="C337" s="549"/>
      <c r="D337" s="549"/>
      <c r="E337" s="549"/>
      <c r="F337" s="549"/>
      <c r="G337" s="549"/>
    </row>
    <row r="338" spans="1:7">
      <c r="A338" s="549"/>
      <c r="B338" s="549"/>
      <c r="C338" s="549"/>
      <c r="D338" s="549"/>
      <c r="E338" s="549"/>
      <c r="F338" s="549"/>
      <c r="G338" s="549"/>
    </row>
    <row r="339" spans="1:7">
      <c r="A339" s="549"/>
      <c r="B339" s="549"/>
      <c r="C339" s="549"/>
      <c r="D339" s="549"/>
      <c r="E339" s="549"/>
      <c r="F339" s="549"/>
      <c r="G339" s="549"/>
    </row>
    <row r="340" spans="1:7">
      <c r="A340" s="549"/>
      <c r="B340" s="549"/>
      <c r="C340" s="549"/>
      <c r="D340" s="549"/>
      <c r="E340" s="549"/>
      <c r="F340" s="549"/>
      <c r="G340" s="549"/>
    </row>
    <row r="341" spans="1:7">
      <c r="A341" s="549"/>
      <c r="B341" s="549"/>
      <c r="C341" s="549"/>
      <c r="D341" s="549"/>
      <c r="E341" s="549"/>
      <c r="F341" s="549"/>
      <c r="G341" s="549"/>
    </row>
    <row r="342" spans="1:7">
      <c r="A342" s="549"/>
      <c r="B342" s="549"/>
      <c r="C342" s="549"/>
      <c r="D342" s="549"/>
      <c r="E342" s="549"/>
      <c r="F342" s="549"/>
      <c r="G342" s="549"/>
    </row>
    <row r="343" spans="1:7">
      <c r="A343" s="549"/>
      <c r="B343" s="549"/>
      <c r="C343" s="549"/>
      <c r="D343" s="549"/>
      <c r="E343" s="549"/>
      <c r="F343" s="549"/>
      <c r="G343" s="549"/>
    </row>
    <row r="344" spans="1:7">
      <c r="A344" s="549"/>
      <c r="B344" s="549"/>
      <c r="C344" s="549"/>
      <c r="D344" s="549"/>
      <c r="E344" s="549"/>
      <c r="F344" s="549"/>
      <c r="G344" s="549"/>
    </row>
    <row r="345" spans="1:7">
      <c r="A345" s="549"/>
      <c r="B345" s="549"/>
      <c r="C345" s="549"/>
      <c r="D345" s="549"/>
      <c r="E345" s="549"/>
      <c r="F345" s="549"/>
      <c r="G345" s="549"/>
    </row>
    <row r="346" spans="1:7">
      <c r="A346" s="549"/>
      <c r="B346" s="549"/>
      <c r="C346" s="549"/>
      <c r="D346" s="549"/>
      <c r="E346" s="549"/>
      <c r="F346" s="549"/>
      <c r="G346" s="549"/>
    </row>
    <row r="347" spans="1:7">
      <c r="A347" s="549"/>
      <c r="B347" s="549"/>
      <c r="C347" s="549"/>
      <c r="D347" s="549"/>
      <c r="E347" s="549"/>
      <c r="F347" s="549"/>
      <c r="G347" s="549"/>
    </row>
    <row r="348" spans="1:7">
      <c r="A348" s="549"/>
      <c r="B348" s="549"/>
      <c r="C348" s="549"/>
      <c r="D348" s="549"/>
      <c r="E348" s="549"/>
      <c r="F348" s="549"/>
      <c r="G348" s="549"/>
    </row>
    <row r="349" spans="1:7">
      <c r="A349" s="549"/>
      <c r="B349" s="549"/>
      <c r="C349" s="549"/>
      <c r="D349" s="549"/>
      <c r="E349" s="549"/>
      <c r="F349" s="549"/>
      <c r="G349" s="549"/>
    </row>
    <row r="350" spans="1:7">
      <c r="A350" s="549"/>
      <c r="B350" s="549"/>
      <c r="C350" s="549"/>
      <c r="D350" s="549"/>
      <c r="E350" s="549"/>
      <c r="F350" s="549"/>
      <c r="G350" s="549"/>
    </row>
    <row r="351" spans="1:7">
      <c r="A351" s="549"/>
      <c r="B351" s="549"/>
      <c r="C351" s="549"/>
      <c r="D351" s="549"/>
      <c r="E351" s="549"/>
      <c r="F351" s="549"/>
      <c r="G351" s="549"/>
    </row>
    <row r="352" spans="1:7">
      <c r="A352" s="549"/>
      <c r="B352" s="549"/>
      <c r="C352" s="549"/>
      <c r="D352" s="549"/>
      <c r="E352" s="549"/>
      <c r="F352" s="549"/>
      <c r="G352" s="549"/>
    </row>
    <row r="353" spans="1:7">
      <c r="A353" s="549"/>
      <c r="B353" s="549"/>
      <c r="C353" s="549"/>
      <c r="D353" s="549"/>
      <c r="E353" s="549"/>
      <c r="F353" s="549"/>
      <c r="G353" s="549"/>
    </row>
    <row r="354" spans="1:7">
      <c r="A354" s="549"/>
      <c r="B354" s="549"/>
      <c r="C354" s="549"/>
      <c r="D354" s="549"/>
      <c r="E354" s="549"/>
      <c r="F354" s="549"/>
      <c r="G354" s="549"/>
    </row>
    <row r="355" spans="1:7">
      <c r="A355" s="549"/>
      <c r="B355" s="549"/>
      <c r="C355" s="549"/>
      <c r="D355" s="549"/>
      <c r="E355" s="549"/>
      <c r="F355" s="549"/>
      <c r="G355" s="549"/>
    </row>
    <row r="356" spans="1:7">
      <c r="A356" s="549"/>
      <c r="B356" s="549"/>
      <c r="C356" s="549"/>
      <c r="D356" s="549"/>
      <c r="E356" s="549"/>
      <c r="F356" s="549"/>
      <c r="G356" s="549"/>
    </row>
    <row r="357" spans="1:7">
      <c r="A357" s="549"/>
      <c r="B357" s="549"/>
      <c r="C357" s="549"/>
      <c r="D357" s="549"/>
      <c r="E357" s="549"/>
      <c r="F357" s="549"/>
      <c r="G357" s="549"/>
    </row>
    <row r="358" spans="1:7">
      <c r="A358" s="549"/>
      <c r="B358" s="549"/>
      <c r="C358" s="549"/>
      <c r="D358" s="549"/>
      <c r="E358" s="549"/>
      <c r="F358" s="549"/>
      <c r="G358" s="549"/>
    </row>
    <row r="359" spans="1:7">
      <c r="A359" s="549"/>
      <c r="B359" s="549"/>
      <c r="C359" s="549"/>
      <c r="D359" s="549"/>
      <c r="E359" s="549"/>
      <c r="F359" s="549"/>
      <c r="G359" s="549"/>
    </row>
    <row r="360" spans="1:7">
      <c r="A360" s="549"/>
      <c r="B360" s="549"/>
      <c r="C360" s="549"/>
      <c r="D360" s="549"/>
      <c r="E360" s="549"/>
      <c r="F360" s="549"/>
      <c r="G360" s="549"/>
    </row>
    <row r="361" spans="1:7">
      <c r="A361" s="549"/>
      <c r="B361" s="549"/>
      <c r="C361" s="549"/>
      <c r="D361" s="549"/>
      <c r="E361" s="549"/>
      <c r="F361" s="549"/>
      <c r="G361" s="549"/>
    </row>
    <row r="362" spans="1:7">
      <c r="A362" s="549"/>
      <c r="B362" s="549"/>
      <c r="C362" s="549"/>
      <c r="D362" s="549"/>
      <c r="E362" s="549"/>
      <c r="F362" s="549"/>
      <c r="G362" s="549"/>
    </row>
    <row r="363" spans="1:7">
      <c r="A363" s="549"/>
      <c r="B363" s="549"/>
      <c r="C363" s="549"/>
      <c r="D363" s="549"/>
      <c r="E363" s="549"/>
      <c r="F363" s="549"/>
      <c r="G363" s="549"/>
    </row>
    <row r="364" spans="1:7">
      <c r="A364" s="549"/>
      <c r="B364" s="549"/>
      <c r="C364" s="549"/>
      <c r="D364" s="549"/>
      <c r="E364" s="549"/>
      <c r="F364" s="549"/>
      <c r="G364" s="549"/>
    </row>
    <row r="365" spans="1:7">
      <c r="A365" s="549"/>
      <c r="B365" s="549"/>
      <c r="C365" s="549"/>
      <c r="D365" s="549"/>
      <c r="E365" s="549"/>
      <c r="F365" s="549"/>
      <c r="G365" s="549"/>
    </row>
    <row r="366" spans="1:7">
      <c r="A366" s="549"/>
      <c r="B366" s="549"/>
      <c r="C366" s="549"/>
      <c r="D366" s="549"/>
      <c r="E366" s="549"/>
      <c r="F366" s="549"/>
      <c r="G366" s="549"/>
    </row>
    <row r="367" spans="1:7">
      <c r="A367" s="549"/>
      <c r="B367" s="549"/>
      <c r="C367" s="549"/>
      <c r="D367" s="549"/>
      <c r="E367" s="549"/>
      <c r="F367" s="549"/>
      <c r="G367" s="549"/>
    </row>
    <row r="368" spans="1:7">
      <c r="A368" s="549"/>
      <c r="B368" s="549"/>
      <c r="C368" s="549"/>
      <c r="D368" s="549"/>
      <c r="E368" s="549"/>
      <c r="F368" s="549"/>
      <c r="G368" s="549"/>
    </row>
    <row r="369" spans="1:7">
      <c r="A369" s="549"/>
      <c r="B369" s="549"/>
      <c r="C369" s="549"/>
      <c r="D369" s="549"/>
      <c r="E369" s="549"/>
      <c r="F369" s="549"/>
      <c r="G369" s="549"/>
    </row>
    <row r="370" spans="1:7">
      <c r="A370" s="549"/>
      <c r="B370" s="549"/>
      <c r="C370" s="549"/>
      <c r="D370" s="549"/>
      <c r="E370" s="549"/>
      <c r="F370" s="549"/>
      <c r="G370" s="549"/>
    </row>
    <row r="371" spans="1:7">
      <c r="A371" s="549"/>
      <c r="B371" s="549"/>
      <c r="C371" s="549"/>
      <c r="D371" s="549"/>
      <c r="E371" s="549"/>
      <c r="F371" s="549"/>
      <c r="G371" s="549"/>
    </row>
    <row r="372" spans="1:7">
      <c r="A372" s="549"/>
      <c r="B372" s="549"/>
      <c r="C372" s="549"/>
      <c r="D372" s="549"/>
      <c r="E372" s="549"/>
      <c r="F372" s="549"/>
      <c r="G372" s="549"/>
    </row>
    <row r="373" spans="1:7">
      <c r="A373" s="549"/>
      <c r="B373" s="549"/>
      <c r="C373" s="549"/>
      <c r="D373" s="549"/>
      <c r="E373" s="549"/>
      <c r="F373" s="549"/>
      <c r="G373" s="549"/>
    </row>
    <row r="374" spans="1:7">
      <c r="A374" s="549"/>
      <c r="B374" s="549"/>
      <c r="C374" s="549"/>
      <c r="D374" s="549"/>
      <c r="E374" s="549"/>
      <c r="F374" s="549"/>
      <c r="G374" s="549"/>
    </row>
    <row r="375" spans="1:7">
      <c r="A375" s="549"/>
      <c r="B375" s="549"/>
      <c r="C375" s="549"/>
      <c r="D375" s="549"/>
      <c r="E375" s="549"/>
      <c r="F375" s="549"/>
      <c r="G375" s="549"/>
    </row>
    <row r="376" spans="1:7">
      <c r="A376" s="549"/>
      <c r="B376" s="549"/>
      <c r="C376" s="549"/>
      <c r="D376" s="549"/>
      <c r="E376" s="549"/>
      <c r="F376" s="549"/>
      <c r="G376" s="549"/>
    </row>
    <row r="377" spans="1:7">
      <c r="A377" s="549"/>
      <c r="B377" s="549"/>
      <c r="C377" s="549"/>
      <c r="D377" s="549"/>
      <c r="E377" s="549"/>
      <c r="F377" s="549"/>
      <c r="G377" s="549"/>
    </row>
    <row r="378" spans="1:7">
      <c r="A378" s="549"/>
      <c r="B378" s="549"/>
      <c r="C378" s="549"/>
      <c r="D378" s="549"/>
      <c r="E378" s="549"/>
      <c r="F378" s="549"/>
      <c r="G378" s="549"/>
    </row>
    <row r="379" spans="1:7">
      <c r="A379" s="549"/>
      <c r="B379" s="549"/>
      <c r="C379" s="549"/>
      <c r="D379" s="549"/>
      <c r="E379" s="549"/>
      <c r="F379" s="549"/>
      <c r="G379" s="549"/>
    </row>
    <row r="380" spans="1:7">
      <c r="A380" s="549"/>
      <c r="B380" s="549"/>
      <c r="C380" s="549"/>
      <c r="D380" s="549"/>
      <c r="E380" s="549"/>
      <c r="F380" s="549"/>
      <c r="G380" s="549"/>
    </row>
    <row r="381" spans="1:7">
      <c r="A381" s="549"/>
      <c r="B381" s="549"/>
      <c r="C381" s="549"/>
      <c r="D381" s="549"/>
      <c r="E381" s="549"/>
      <c r="F381" s="549"/>
      <c r="G381" s="549"/>
    </row>
    <row r="382" spans="1:7">
      <c r="A382" s="549"/>
      <c r="B382" s="549"/>
      <c r="C382" s="549"/>
      <c r="D382" s="549"/>
      <c r="E382" s="549"/>
      <c r="F382" s="549"/>
      <c r="G382" s="549"/>
    </row>
    <row r="383" spans="1:7">
      <c r="A383" s="549"/>
      <c r="B383" s="549"/>
      <c r="C383" s="549"/>
      <c r="D383" s="549"/>
      <c r="E383" s="549"/>
      <c r="F383" s="549"/>
      <c r="G383" s="549"/>
    </row>
    <row r="384" spans="1:7">
      <c r="A384" s="549"/>
      <c r="B384" s="549"/>
      <c r="C384" s="549"/>
      <c r="D384" s="549"/>
      <c r="E384" s="549"/>
      <c r="F384" s="549"/>
      <c r="G384" s="549"/>
    </row>
    <row r="385" spans="1:7">
      <c r="A385" s="549"/>
      <c r="B385" s="549"/>
      <c r="C385" s="549"/>
      <c r="D385" s="549"/>
      <c r="E385" s="549"/>
      <c r="F385" s="549"/>
      <c r="G385" s="549"/>
    </row>
    <row r="386" spans="1:7">
      <c r="A386" s="549"/>
      <c r="B386" s="549"/>
      <c r="C386" s="549"/>
      <c r="D386" s="549"/>
      <c r="E386" s="549"/>
      <c r="F386" s="549"/>
      <c r="G386" s="549"/>
    </row>
    <row r="387" spans="1:7">
      <c r="A387" s="549"/>
      <c r="B387" s="549"/>
      <c r="C387" s="549"/>
      <c r="D387" s="549"/>
      <c r="E387" s="549"/>
      <c r="F387" s="549"/>
      <c r="G387" s="549"/>
    </row>
    <row r="388" spans="1:7">
      <c r="A388" s="549"/>
      <c r="B388" s="549"/>
      <c r="C388" s="549"/>
      <c r="D388" s="549"/>
      <c r="E388" s="549"/>
      <c r="F388" s="549"/>
      <c r="G388" s="549"/>
    </row>
    <row r="389" spans="1:7">
      <c r="A389" s="549"/>
      <c r="B389" s="549"/>
      <c r="C389" s="549"/>
      <c r="D389" s="549"/>
      <c r="E389" s="549"/>
      <c r="F389" s="549"/>
      <c r="G389" s="549"/>
    </row>
    <row r="390" spans="1:7">
      <c r="A390" s="549"/>
      <c r="B390" s="549"/>
      <c r="C390" s="549"/>
      <c r="D390" s="549"/>
      <c r="E390" s="549"/>
      <c r="F390" s="549"/>
      <c r="G390" s="549"/>
    </row>
    <row r="391" spans="1:7">
      <c r="A391" s="549"/>
      <c r="B391" s="549"/>
      <c r="C391" s="549"/>
      <c r="D391" s="549"/>
      <c r="E391" s="549"/>
      <c r="F391" s="549"/>
      <c r="G391" s="549"/>
    </row>
    <row r="392" spans="1:7">
      <c r="A392" s="549"/>
      <c r="B392" s="549"/>
      <c r="C392" s="549"/>
      <c r="D392" s="549"/>
      <c r="E392" s="549"/>
      <c r="F392" s="549"/>
      <c r="G392" s="549"/>
    </row>
    <row r="393" spans="1:7">
      <c r="A393" s="549"/>
      <c r="B393" s="549"/>
      <c r="C393" s="549"/>
      <c r="D393" s="549"/>
      <c r="E393" s="549"/>
      <c r="F393" s="549"/>
      <c r="G393" s="549"/>
    </row>
    <row r="394" spans="1:7">
      <c r="A394" s="549"/>
      <c r="B394" s="549"/>
      <c r="C394" s="549"/>
      <c r="D394" s="549"/>
      <c r="E394" s="549"/>
      <c r="F394" s="549"/>
      <c r="G394" s="549"/>
    </row>
    <row r="395" spans="1:7">
      <c r="A395" s="549"/>
      <c r="B395" s="549"/>
      <c r="C395" s="549"/>
      <c r="D395" s="549"/>
      <c r="E395" s="549"/>
      <c r="F395" s="549"/>
      <c r="G395" s="549"/>
    </row>
    <row r="396" spans="1:7">
      <c r="A396" s="549"/>
      <c r="B396" s="549"/>
      <c r="C396" s="549"/>
      <c r="D396" s="549"/>
      <c r="E396" s="549"/>
      <c r="F396" s="549"/>
      <c r="G396" s="549"/>
    </row>
    <row r="397" spans="1:7">
      <c r="A397" s="549"/>
      <c r="B397" s="549"/>
      <c r="C397" s="549"/>
      <c r="D397" s="549"/>
      <c r="E397" s="549"/>
      <c r="F397" s="549"/>
      <c r="G397" s="549"/>
    </row>
    <row r="398" spans="1:7">
      <c r="A398" s="549"/>
      <c r="B398" s="549"/>
      <c r="C398" s="549"/>
      <c r="D398" s="549"/>
      <c r="E398" s="549"/>
      <c r="F398" s="549"/>
      <c r="G398" s="549"/>
    </row>
    <row r="399" spans="1:7">
      <c r="A399" s="549"/>
      <c r="B399" s="549"/>
      <c r="C399" s="549"/>
      <c r="D399" s="549"/>
      <c r="E399" s="549"/>
      <c r="F399" s="549"/>
      <c r="G399" s="549"/>
    </row>
    <row r="400" spans="1:7">
      <c r="A400" s="549"/>
      <c r="B400" s="549"/>
      <c r="C400" s="549"/>
      <c r="D400" s="549"/>
      <c r="E400" s="549"/>
      <c r="F400" s="549"/>
      <c r="G400" s="549"/>
    </row>
    <row r="401" spans="1:7">
      <c r="A401" s="549"/>
      <c r="B401" s="549"/>
      <c r="C401" s="549"/>
      <c r="D401" s="549"/>
      <c r="E401" s="549"/>
      <c r="F401" s="549"/>
      <c r="G401" s="549"/>
    </row>
    <row r="402" spans="1:7">
      <c r="A402" s="549"/>
      <c r="B402" s="549"/>
      <c r="C402" s="549"/>
      <c r="D402" s="549"/>
      <c r="E402" s="549"/>
      <c r="F402" s="549"/>
      <c r="G402" s="549"/>
    </row>
    <row r="403" spans="1:7">
      <c r="A403" s="549"/>
      <c r="B403" s="549"/>
      <c r="C403" s="549"/>
      <c r="D403" s="549"/>
      <c r="E403" s="549"/>
      <c r="F403" s="549"/>
      <c r="G403" s="549"/>
    </row>
    <row r="404" spans="1:7">
      <c r="A404" s="549"/>
      <c r="B404" s="549"/>
      <c r="C404" s="549"/>
      <c r="D404" s="549"/>
      <c r="E404" s="549"/>
      <c r="F404" s="549"/>
      <c r="G404" s="549"/>
    </row>
    <row r="405" spans="1:7">
      <c r="A405" s="549"/>
      <c r="B405" s="549"/>
      <c r="C405" s="549"/>
      <c r="D405" s="549"/>
      <c r="E405" s="549"/>
      <c r="F405" s="549"/>
      <c r="G405" s="549"/>
    </row>
    <row r="406" spans="1:7">
      <c r="A406" s="549"/>
      <c r="B406" s="549"/>
      <c r="C406" s="549"/>
      <c r="D406" s="549"/>
      <c r="E406" s="549"/>
      <c r="F406" s="549"/>
      <c r="G406" s="549"/>
    </row>
    <row r="407" spans="1:7">
      <c r="A407" s="549"/>
      <c r="B407" s="549"/>
      <c r="C407" s="549"/>
      <c r="D407" s="549"/>
      <c r="E407" s="549"/>
      <c r="F407" s="549"/>
      <c r="G407" s="549"/>
    </row>
    <row r="408" spans="1:7">
      <c r="A408" s="549"/>
      <c r="B408" s="549"/>
      <c r="C408" s="549"/>
      <c r="D408" s="549"/>
      <c r="E408" s="549"/>
      <c r="F408" s="549"/>
      <c r="G408" s="549"/>
    </row>
    <row r="409" spans="1:7">
      <c r="A409" s="549"/>
      <c r="B409" s="549"/>
      <c r="C409" s="549"/>
      <c r="D409" s="549"/>
      <c r="E409" s="549"/>
      <c r="F409" s="549"/>
      <c r="G409" s="549"/>
    </row>
    <row r="410" spans="1:7">
      <c r="A410" s="549"/>
      <c r="B410" s="549"/>
      <c r="C410" s="549"/>
      <c r="D410" s="549"/>
      <c r="E410" s="549"/>
      <c r="F410" s="549"/>
      <c r="G410" s="549"/>
    </row>
    <row r="411" spans="1:7">
      <c r="A411" s="549"/>
      <c r="B411" s="549"/>
      <c r="C411" s="549"/>
      <c r="D411" s="549"/>
      <c r="E411" s="549"/>
      <c r="F411" s="549"/>
      <c r="G411" s="549"/>
    </row>
    <row r="412" spans="1:7">
      <c r="A412" s="549"/>
      <c r="B412" s="549"/>
      <c r="C412" s="549"/>
      <c r="D412" s="549"/>
      <c r="E412" s="549"/>
      <c r="F412" s="549"/>
      <c r="G412" s="549"/>
    </row>
    <row r="413" spans="1:7">
      <c r="A413" s="549"/>
      <c r="B413" s="549"/>
      <c r="C413" s="549"/>
      <c r="D413" s="549"/>
      <c r="E413" s="549"/>
      <c r="F413" s="549"/>
      <c r="G413" s="549"/>
    </row>
    <row r="414" spans="1:7">
      <c r="A414" s="549"/>
      <c r="B414" s="549"/>
      <c r="C414" s="549"/>
      <c r="D414" s="549"/>
      <c r="E414" s="549"/>
      <c r="F414" s="549"/>
      <c r="G414" s="549"/>
    </row>
    <row r="415" spans="1:7">
      <c r="A415" s="549"/>
      <c r="B415" s="549"/>
      <c r="C415" s="549"/>
      <c r="D415" s="549"/>
      <c r="E415" s="549"/>
      <c r="F415" s="549"/>
      <c r="G415" s="549"/>
    </row>
    <row r="416" spans="1:7">
      <c r="A416" s="549"/>
      <c r="B416" s="549"/>
      <c r="C416" s="549"/>
      <c r="D416" s="549"/>
      <c r="E416" s="549"/>
      <c r="F416" s="549"/>
      <c r="G416" s="549"/>
    </row>
    <row r="417" spans="1:7">
      <c r="A417" s="549"/>
      <c r="B417" s="549"/>
      <c r="C417" s="549"/>
      <c r="D417" s="549"/>
      <c r="E417" s="549"/>
      <c r="F417" s="549"/>
      <c r="G417" s="549"/>
    </row>
    <row r="418" spans="1:7">
      <c r="A418" s="549"/>
      <c r="B418" s="549"/>
      <c r="C418" s="549"/>
      <c r="D418" s="549"/>
      <c r="E418" s="549"/>
      <c r="F418" s="549"/>
      <c r="G418" s="549"/>
    </row>
    <row r="419" spans="1:7">
      <c r="A419" s="549"/>
      <c r="B419" s="549"/>
      <c r="C419" s="549"/>
      <c r="D419" s="549"/>
      <c r="E419" s="549"/>
      <c r="F419" s="549"/>
      <c r="G419" s="549"/>
    </row>
    <row r="420" spans="1:7">
      <c r="A420" s="549"/>
      <c r="B420" s="549"/>
      <c r="C420" s="549"/>
      <c r="D420" s="549"/>
      <c r="E420" s="549"/>
      <c r="F420" s="549"/>
      <c r="G420" s="549"/>
    </row>
    <row r="421" spans="1:7">
      <c r="A421" s="549"/>
      <c r="B421" s="549"/>
      <c r="C421" s="549"/>
      <c r="D421" s="549"/>
      <c r="E421" s="549"/>
      <c r="F421" s="549"/>
      <c r="G421" s="549"/>
    </row>
    <row r="422" spans="1:7">
      <c r="A422" s="549"/>
      <c r="B422" s="549"/>
      <c r="C422" s="549"/>
      <c r="D422" s="549"/>
      <c r="E422" s="549"/>
      <c r="F422" s="549"/>
      <c r="G422" s="549"/>
    </row>
    <row r="423" spans="1:7">
      <c r="A423" s="549"/>
      <c r="B423" s="549"/>
      <c r="C423" s="549"/>
      <c r="D423" s="549"/>
      <c r="E423" s="549"/>
      <c r="F423" s="549"/>
      <c r="G423" s="549"/>
    </row>
    <row r="424" spans="1:7">
      <c r="A424" s="549"/>
      <c r="B424" s="549"/>
      <c r="C424" s="549"/>
      <c r="D424" s="549"/>
      <c r="E424" s="549"/>
      <c r="F424" s="549"/>
      <c r="G424" s="549"/>
    </row>
    <row r="425" spans="1:7">
      <c r="A425" s="549"/>
      <c r="B425" s="549"/>
      <c r="C425" s="549"/>
      <c r="D425" s="549"/>
      <c r="E425" s="549"/>
      <c r="F425" s="549"/>
      <c r="G425" s="549"/>
    </row>
    <row r="426" spans="1:7">
      <c r="A426" s="549"/>
      <c r="B426" s="549"/>
      <c r="C426" s="549"/>
      <c r="D426" s="549"/>
      <c r="E426" s="549"/>
      <c r="F426" s="549"/>
      <c r="G426" s="549"/>
    </row>
    <row r="427" spans="1:7">
      <c r="A427" s="549"/>
      <c r="B427" s="549"/>
      <c r="C427" s="549"/>
      <c r="D427" s="549"/>
      <c r="E427" s="549"/>
      <c r="F427" s="549"/>
      <c r="G427" s="549"/>
    </row>
    <row r="428" spans="1:7">
      <c r="A428" s="549"/>
      <c r="B428" s="549"/>
      <c r="C428" s="549"/>
      <c r="D428" s="549"/>
      <c r="E428" s="549"/>
      <c r="F428" s="549"/>
      <c r="G428" s="549"/>
    </row>
    <row r="429" spans="1:7">
      <c r="A429" s="549"/>
      <c r="B429" s="549"/>
      <c r="C429" s="549"/>
      <c r="D429" s="549"/>
      <c r="E429" s="549"/>
      <c r="F429" s="549"/>
      <c r="G429" s="549"/>
    </row>
    <row r="430" spans="1:7">
      <c r="A430" s="549"/>
      <c r="B430" s="549"/>
      <c r="C430" s="549"/>
      <c r="D430" s="549"/>
      <c r="E430" s="549"/>
      <c r="F430" s="549"/>
      <c r="G430" s="549"/>
    </row>
    <row r="431" spans="1:7">
      <c r="A431" s="549"/>
      <c r="B431" s="549"/>
      <c r="C431" s="549"/>
      <c r="D431" s="549"/>
      <c r="E431" s="549"/>
      <c r="F431" s="549"/>
      <c r="G431" s="549"/>
    </row>
    <row r="432" spans="1:7">
      <c r="A432" s="549"/>
      <c r="B432" s="549"/>
      <c r="C432" s="549"/>
      <c r="D432" s="549"/>
      <c r="E432" s="549"/>
      <c r="F432" s="549"/>
      <c r="G432" s="549"/>
    </row>
    <row r="433" spans="1:7">
      <c r="A433" s="549"/>
      <c r="B433" s="549"/>
      <c r="C433" s="549"/>
      <c r="D433" s="549"/>
      <c r="E433" s="549"/>
      <c r="F433" s="549"/>
      <c r="G433" s="549"/>
    </row>
    <row r="434" spans="1:7">
      <c r="A434" s="549"/>
      <c r="B434" s="549"/>
      <c r="C434" s="549"/>
      <c r="D434" s="549"/>
      <c r="E434" s="549"/>
      <c r="F434" s="549"/>
      <c r="G434" s="549"/>
    </row>
    <row r="435" spans="1:7">
      <c r="A435" s="549"/>
      <c r="B435" s="549"/>
      <c r="C435" s="549"/>
      <c r="D435" s="549"/>
      <c r="E435" s="549"/>
      <c r="F435" s="549"/>
      <c r="G435" s="549"/>
    </row>
    <row r="436" spans="1:7">
      <c r="A436" s="549"/>
      <c r="B436" s="549"/>
      <c r="C436" s="549"/>
      <c r="D436" s="549"/>
      <c r="E436" s="549"/>
      <c r="F436" s="549"/>
      <c r="G436" s="549"/>
    </row>
    <row r="437" spans="1:7">
      <c r="A437" s="549"/>
      <c r="B437" s="549"/>
      <c r="C437" s="549"/>
      <c r="D437" s="549"/>
      <c r="E437" s="549"/>
      <c r="F437" s="549"/>
      <c r="G437" s="549"/>
    </row>
    <row r="438" spans="1:7">
      <c r="A438" s="549"/>
      <c r="B438" s="549"/>
      <c r="C438" s="549"/>
      <c r="D438" s="549"/>
      <c r="E438" s="549"/>
      <c r="F438" s="549"/>
      <c r="G438" s="549"/>
    </row>
    <row r="439" spans="1:7">
      <c r="A439" s="549"/>
      <c r="B439" s="549"/>
      <c r="C439" s="549"/>
      <c r="D439" s="549"/>
      <c r="E439" s="549"/>
      <c r="F439" s="549"/>
      <c r="G439" s="549"/>
    </row>
    <row r="440" spans="1:7">
      <c r="A440" s="549"/>
      <c r="B440" s="549"/>
      <c r="C440" s="549"/>
      <c r="D440" s="549"/>
      <c r="E440" s="549"/>
      <c r="F440" s="549"/>
      <c r="G440" s="549"/>
    </row>
    <row r="441" spans="1:7">
      <c r="A441" s="549"/>
      <c r="B441" s="549"/>
      <c r="C441" s="549"/>
      <c r="D441" s="549"/>
      <c r="E441" s="549"/>
      <c r="F441" s="549"/>
      <c r="G441" s="549"/>
    </row>
    <row r="442" spans="1:7">
      <c r="A442" s="549"/>
      <c r="B442" s="549"/>
      <c r="C442" s="549"/>
      <c r="D442" s="549"/>
      <c r="E442" s="549"/>
      <c r="F442" s="549"/>
      <c r="G442" s="549"/>
    </row>
    <row r="443" spans="1:7">
      <c r="A443" s="549"/>
      <c r="B443" s="549"/>
      <c r="C443" s="549"/>
      <c r="D443" s="549"/>
      <c r="E443" s="549"/>
      <c r="F443" s="549"/>
      <c r="G443" s="549"/>
    </row>
    <row r="444" spans="1:7">
      <c r="A444" s="549"/>
      <c r="B444" s="549"/>
      <c r="C444" s="549"/>
      <c r="D444" s="549"/>
      <c r="E444" s="549"/>
      <c r="F444" s="549"/>
      <c r="G444" s="549"/>
    </row>
    <row r="445" spans="1:7">
      <c r="A445" s="549"/>
      <c r="B445" s="549"/>
      <c r="C445" s="549"/>
      <c r="D445" s="549"/>
      <c r="E445" s="549"/>
      <c r="F445" s="549"/>
      <c r="G445" s="549"/>
    </row>
    <row r="446" spans="1:7">
      <c r="A446" s="549"/>
      <c r="B446" s="549"/>
      <c r="C446" s="549"/>
      <c r="D446" s="549"/>
      <c r="E446" s="549"/>
      <c r="F446" s="549"/>
      <c r="G446" s="549"/>
    </row>
    <row r="447" spans="1:7">
      <c r="A447" s="549"/>
      <c r="B447" s="549"/>
      <c r="C447" s="549"/>
      <c r="D447" s="549"/>
      <c r="E447" s="549"/>
      <c r="F447" s="549"/>
      <c r="G447" s="549"/>
    </row>
    <row r="448" spans="1:7">
      <c r="A448" s="549"/>
      <c r="B448" s="549"/>
      <c r="C448" s="549"/>
      <c r="D448" s="549"/>
      <c r="E448" s="549"/>
      <c r="F448" s="549"/>
      <c r="G448" s="549"/>
    </row>
    <row r="449" spans="1:7">
      <c r="A449" s="549"/>
      <c r="B449" s="549"/>
      <c r="C449" s="549"/>
      <c r="D449" s="549"/>
      <c r="E449" s="549"/>
      <c r="F449" s="549"/>
      <c r="G449" s="549"/>
    </row>
    <row r="450" spans="1:7">
      <c r="A450" s="549"/>
      <c r="B450" s="549"/>
      <c r="C450" s="549"/>
      <c r="D450" s="549"/>
      <c r="E450" s="549"/>
      <c r="F450" s="549"/>
      <c r="G450" s="549"/>
    </row>
    <row r="451" spans="1:7">
      <c r="A451" s="549"/>
      <c r="B451" s="549"/>
      <c r="C451" s="549"/>
      <c r="D451" s="549"/>
      <c r="E451" s="549"/>
      <c r="F451" s="549"/>
      <c r="G451" s="549"/>
    </row>
    <row r="452" spans="1:7">
      <c r="A452" s="549"/>
      <c r="B452" s="549"/>
      <c r="C452" s="549"/>
      <c r="D452" s="549"/>
      <c r="E452" s="549"/>
      <c r="F452" s="549"/>
      <c r="G452" s="549"/>
    </row>
    <row r="453" spans="1:7">
      <c r="A453" s="549"/>
      <c r="B453" s="549"/>
      <c r="C453" s="549"/>
      <c r="D453" s="549"/>
      <c r="E453" s="549"/>
      <c r="F453" s="549"/>
      <c r="G453" s="549"/>
    </row>
    <row r="454" spans="1:7">
      <c r="A454" s="549"/>
      <c r="B454" s="549"/>
      <c r="C454" s="549"/>
      <c r="D454" s="549"/>
      <c r="E454" s="549"/>
      <c r="F454" s="549"/>
      <c r="G454" s="549"/>
    </row>
    <row r="455" spans="1:7">
      <c r="A455" s="549"/>
      <c r="B455" s="549"/>
      <c r="C455" s="549"/>
      <c r="D455" s="549"/>
      <c r="E455" s="549"/>
      <c r="F455" s="549"/>
      <c r="G455" s="549"/>
    </row>
    <row r="456" spans="1:7">
      <c r="A456" s="549"/>
      <c r="B456" s="549"/>
      <c r="C456" s="549"/>
      <c r="D456" s="549"/>
      <c r="E456" s="549"/>
      <c r="F456" s="549"/>
      <c r="G456" s="549"/>
    </row>
    <row r="457" spans="1:7">
      <c r="A457" s="549"/>
      <c r="B457" s="549"/>
      <c r="C457" s="549"/>
      <c r="D457" s="549"/>
      <c r="E457" s="549"/>
      <c r="F457" s="549"/>
      <c r="G457" s="549"/>
    </row>
    <row r="458" spans="1:7">
      <c r="A458" s="549"/>
      <c r="B458" s="549"/>
      <c r="C458" s="549"/>
      <c r="D458" s="549"/>
      <c r="E458" s="549"/>
      <c r="F458" s="549"/>
      <c r="G458" s="549"/>
    </row>
    <row r="459" spans="1:7">
      <c r="A459" s="549"/>
      <c r="B459" s="549"/>
      <c r="C459" s="549"/>
      <c r="D459" s="549"/>
      <c r="E459" s="549"/>
      <c r="F459" s="549"/>
      <c r="G459" s="549"/>
    </row>
    <row r="460" spans="1:7">
      <c r="A460" s="549"/>
      <c r="B460" s="549"/>
      <c r="C460" s="549"/>
      <c r="D460" s="549"/>
      <c r="E460" s="549"/>
      <c r="F460" s="549"/>
      <c r="G460" s="549"/>
    </row>
    <row r="461" spans="1:7">
      <c r="A461" s="549"/>
      <c r="B461" s="549"/>
      <c r="C461" s="549"/>
      <c r="D461" s="549"/>
      <c r="E461" s="549"/>
      <c r="F461" s="549"/>
      <c r="G461" s="549"/>
    </row>
    <row r="462" spans="1:7">
      <c r="A462" s="549"/>
      <c r="B462" s="549"/>
      <c r="C462" s="549"/>
      <c r="D462" s="549"/>
      <c r="E462" s="549"/>
      <c r="F462" s="549"/>
      <c r="G462" s="549"/>
    </row>
    <row r="463" spans="1:7">
      <c r="A463" s="549"/>
      <c r="B463" s="549"/>
      <c r="C463" s="549"/>
      <c r="D463" s="549"/>
      <c r="E463" s="549"/>
      <c r="F463" s="549"/>
      <c r="G463" s="549"/>
    </row>
    <row r="464" spans="1:7">
      <c r="A464" s="549"/>
      <c r="B464" s="549"/>
      <c r="C464" s="549"/>
      <c r="D464" s="549"/>
      <c r="E464" s="549"/>
      <c r="F464" s="549"/>
      <c r="G464" s="549"/>
    </row>
    <row r="465" spans="1:7">
      <c r="A465" s="549"/>
      <c r="B465" s="549"/>
      <c r="C465" s="549"/>
      <c r="D465" s="549"/>
      <c r="E465" s="549"/>
      <c r="F465" s="549"/>
      <c r="G465" s="549"/>
    </row>
    <row r="466" spans="1:7">
      <c r="A466" s="549"/>
      <c r="B466" s="549"/>
      <c r="C466" s="549"/>
      <c r="D466" s="549"/>
      <c r="E466" s="549"/>
      <c r="F466" s="549"/>
      <c r="G466" s="549"/>
    </row>
    <row r="467" spans="1:7">
      <c r="A467" s="549"/>
      <c r="B467" s="549"/>
      <c r="C467" s="549"/>
      <c r="D467" s="549"/>
      <c r="E467" s="549"/>
      <c r="F467" s="549"/>
      <c r="G467" s="549"/>
    </row>
    <row r="468" spans="1:7">
      <c r="A468" s="549"/>
      <c r="B468" s="549"/>
      <c r="C468" s="549"/>
      <c r="D468" s="549"/>
      <c r="E468" s="549"/>
      <c r="F468" s="549"/>
      <c r="G468" s="549"/>
    </row>
    <row r="469" spans="1:7">
      <c r="A469" s="549"/>
      <c r="B469" s="549"/>
      <c r="C469" s="549"/>
      <c r="D469" s="549"/>
      <c r="E469" s="549"/>
      <c r="F469" s="549"/>
      <c r="G469" s="549"/>
    </row>
    <row r="470" spans="1:7">
      <c r="A470" s="549"/>
      <c r="B470" s="549"/>
      <c r="C470" s="549"/>
      <c r="D470" s="549"/>
      <c r="E470" s="549"/>
      <c r="F470" s="549"/>
      <c r="G470" s="549"/>
    </row>
    <row r="471" spans="1:7">
      <c r="A471" s="549"/>
      <c r="B471" s="549"/>
      <c r="C471" s="549"/>
      <c r="D471" s="549"/>
      <c r="E471" s="549"/>
      <c r="F471" s="549"/>
      <c r="G471" s="549"/>
    </row>
    <row r="472" spans="1:7">
      <c r="A472" s="549"/>
      <c r="B472" s="549"/>
      <c r="C472" s="549"/>
      <c r="D472" s="549"/>
      <c r="E472" s="549"/>
      <c r="F472" s="549"/>
      <c r="G472" s="549"/>
    </row>
    <row r="473" spans="1:7">
      <c r="A473" s="549"/>
      <c r="B473" s="549"/>
      <c r="C473" s="549"/>
      <c r="D473" s="549"/>
      <c r="E473" s="549"/>
      <c r="F473" s="549"/>
      <c r="G473" s="549"/>
    </row>
    <row r="474" spans="1:7">
      <c r="A474" s="549"/>
      <c r="B474" s="549"/>
      <c r="C474" s="549"/>
      <c r="D474" s="549"/>
      <c r="E474" s="549"/>
      <c r="F474" s="549"/>
      <c r="G474" s="549"/>
    </row>
    <row r="475" spans="1:7">
      <c r="A475" s="549"/>
      <c r="B475" s="549"/>
      <c r="C475" s="549"/>
      <c r="D475" s="549"/>
      <c r="E475" s="549"/>
      <c r="F475" s="549"/>
      <c r="G475" s="549"/>
    </row>
    <row r="476" spans="1:7">
      <c r="A476" s="549"/>
      <c r="B476" s="549"/>
      <c r="C476" s="549"/>
      <c r="D476" s="549"/>
      <c r="E476" s="549"/>
      <c r="F476" s="549"/>
      <c r="G476" s="549"/>
    </row>
    <row r="477" spans="1:7">
      <c r="A477" s="549"/>
      <c r="B477" s="549"/>
      <c r="C477" s="549"/>
      <c r="D477" s="549"/>
      <c r="E477" s="549"/>
      <c r="F477" s="549"/>
      <c r="G477" s="549"/>
    </row>
    <row r="478" spans="1:7">
      <c r="A478" s="549"/>
      <c r="B478" s="549"/>
      <c r="C478" s="549"/>
      <c r="D478" s="549"/>
      <c r="E478" s="549"/>
      <c r="F478" s="549"/>
      <c r="G478" s="549"/>
    </row>
    <row r="479" spans="1:7">
      <c r="A479" s="549"/>
      <c r="B479" s="549"/>
      <c r="C479" s="549"/>
      <c r="D479" s="549"/>
      <c r="E479" s="549"/>
      <c r="F479" s="549"/>
      <c r="G479" s="549"/>
    </row>
    <row r="480" spans="1:7">
      <c r="A480" s="549"/>
      <c r="B480" s="549"/>
      <c r="C480" s="549"/>
      <c r="D480" s="549"/>
      <c r="E480" s="549"/>
      <c r="F480" s="549"/>
      <c r="G480" s="549"/>
    </row>
    <row r="481" spans="1:7">
      <c r="A481" s="549"/>
      <c r="B481" s="549"/>
      <c r="C481" s="549"/>
      <c r="D481" s="549"/>
      <c r="E481" s="549"/>
      <c r="F481" s="549"/>
      <c r="G481" s="549"/>
    </row>
    <row r="482" spans="1:7">
      <c r="A482" s="549"/>
      <c r="B482" s="549"/>
      <c r="C482" s="549"/>
      <c r="D482" s="549"/>
      <c r="E482" s="549"/>
      <c r="F482" s="549"/>
      <c r="G482" s="549"/>
    </row>
    <row r="483" spans="1:7">
      <c r="A483" s="549"/>
      <c r="B483" s="549"/>
      <c r="C483" s="549"/>
      <c r="D483" s="549"/>
      <c r="E483" s="549"/>
      <c r="F483" s="549"/>
      <c r="G483" s="549"/>
    </row>
    <row r="484" spans="1:7">
      <c r="A484" s="549"/>
      <c r="B484" s="549"/>
      <c r="C484" s="549"/>
      <c r="D484" s="549"/>
      <c r="E484" s="549"/>
      <c r="F484" s="549"/>
      <c r="G484" s="549"/>
    </row>
    <row r="485" spans="1:7">
      <c r="A485" s="549"/>
      <c r="B485" s="549"/>
      <c r="C485" s="549"/>
      <c r="D485" s="549"/>
      <c r="E485" s="549"/>
      <c r="F485" s="549"/>
      <c r="G485" s="549"/>
    </row>
    <row r="486" spans="1:7">
      <c r="A486" s="549"/>
      <c r="B486" s="549"/>
      <c r="C486" s="549"/>
      <c r="D486" s="549"/>
      <c r="E486" s="549"/>
      <c r="F486" s="549"/>
      <c r="G486" s="549"/>
    </row>
    <row r="487" spans="1:7">
      <c r="A487" s="549"/>
      <c r="B487" s="549"/>
      <c r="C487" s="549"/>
      <c r="D487" s="549"/>
      <c r="E487" s="549"/>
      <c r="F487" s="549"/>
      <c r="G487" s="549"/>
    </row>
    <row r="488" spans="1:7">
      <c r="A488" s="549"/>
      <c r="B488" s="549"/>
      <c r="C488" s="549"/>
      <c r="D488" s="549"/>
      <c r="E488" s="549"/>
      <c r="F488" s="549"/>
      <c r="G488" s="549"/>
    </row>
    <row r="489" spans="1:7">
      <c r="A489" s="549"/>
      <c r="B489" s="549"/>
      <c r="C489" s="549"/>
      <c r="D489" s="549"/>
      <c r="E489" s="549"/>
      <c r="F489" s="549"/>
      <c r="G489" s="549"/>
    </row>
    <row r="490" spans="1:7">
      <c r="A490" s="549"/>
      <c r="B490" s="549"/>
      <c r="C490" s="549"/>
      <c r="D490" s="549"/>
      <c r="E490" s="549"/>
      <c r="F490" s="549"/>
      <c r="G490" s="549"/>
    </row>
    <row r="491" spans="1:7">
      <c r="A491" s="549"/>
      <c r="B491" s="549"/>
      <c r="C491" s="549"/>
      <c r="D491" s="549"/>
      <c r="E491" s="549"/>
      <c r="F491" s="549"/>
      <c r="G491" s="549"/>
    </row>
    <row r="492" spans="1:7">
      <c r="A492" s="549"/>
      <c r="B492" s="549"/>
      <c r="C492" s="549"/>
      <c r="D492" s="549"/>
      <c r="E492" s="549"/>
      <c r="F492" s="549"/>
      <c r="G492" s="549"/>
    </row>
    <row r="493" spans="1:7">
      <c r="A493" s="549"/>
      <c r="B493" s="549"/>
      <c r="C493" s="549"/>
      <c r="D493" s="549"/>
      <c r="E493" s="549"/>
      <c r="F493" s="549"/>
      <c r="G493" s="549"/>
    </row>
    <row r="494" spans="1:7">
      <c r="A494" s="549"/>
      <c r="B494" s="549"/>
      <c r="C494" s="549"/>
      <c r="D494" s="549"/>
      <c r="E494" s="549"/>
      <c r="F494" s="549"/>
      <c r="G494" s="549"/>
    </row>
    <row r="495" spans="1:7">
      <c r="A495" s="549"/>
      <c r="B495" s="549"/>
      <c r="C495" s="549"/>
      <c r="D495" s="549"/>
      <c r="E495" s="549"/>
      <c r="F495" s="549"/>
      <c r="G495" s="549"/>
    </row>
    <row r="496" spans="1:7">
      <c r="A496" s="549"/>
      <c r="B496" s="549"/>
      <c r="C496" s="549"/>
      <c r="D496" s="549"/>
      <c r="E496" s="549"/>
      <c r="F496" s="549"/>
      <c r="G496" s="549"/>
    </row>
    <row r="497" spans="1:7">
      <c r="A497" s="549"/>
      <c r="B497" s="549"/>
      <c r="C497" s="549"/>
      <c r="D497" s="549"/>
      <c r="E497" s="549"/>
      <c r="F497" s="549"/>
      <c r="G497" s="549"/>
    </row>
    <row r="498" spans="1:7">
      <c r="A498" s="549"/>
      <c r="B498" s="549"/>
      <c r="C498" s="549"/>
      <c r="D498" s="549"/>
      <c r="E498" s="549"/>
      <c r="F498" s="549"/>
      <c r="G498" s="549"/>
    </row>
    <row r="499" spans="1:7">
      <c r="A499" s="549"/>
      <c r="B499" s="549"/>
      <c r="C499" s="549"/>
      <c r="D499" s="549"/>
      <c r="E499" s="549"/>
      <c r="F499" s="549"/>
      <c r="G499" s="549"/>
    </row>
    <row r="500" spans="1:7">
      <c r="A500" s="549"/>
      <c r="B500" s="549"/>
      <c r="C500" s="549"/>
      <c r="D500" s="549"/>
      <c r="E500" s="549"/>
      <c r="F500" s="549"/>
      <c r="G500" s="549"/>
    </row>
    <row r="501" spans="1:7">
      <c r="A501" s="549"/>
      <c r="B501" s="549"/>
      <c r="C501" s="549"/>
      <c r="D501" s="549"/>
      <c r="E501" s="549"/>
      <c r="F501" s="549"/>
      <c r="G501" s="549"/>
    </row>
    <row r="502" spans="1:7">
      <c r="A502" s="549"/>
      <c r="B502" s="549"/>
      <c r="C502" s="549"/>
      <c r="D502" s="549"/>
      <c r="E502" s="549"/>
      <c r="F502" s="549"/>
      <c r="G502" s="549"/>
    </row>
    <row r="503" spans="1:7">
      <c r="A503" s="549"/>
      <c r="B503" s="549"/>
      <c r="C503" s="549"/>
      <c r="D503" s="549"/>
      <c r="E503" s="549"/>
      <c r="F503" s="549"/>
      <c r="G503" s="549"/>
    </row>
    <row r="504" spans="1:7">
      <c r="A504" s="549"/>
      <c r="B504" s="549"/>
      <c r="C504" s="549"/>
      <c r="D504" s="549"/>
      <c r="E504" s="549"/>
      <c r="F504" s="549"/>
      <c r="G504" s="549"/>
    </row>
    <row r="505" spans="1:7">
      <c r="A505" s="549"/>
      <c r="B505" s="549"/>
      <c r="C505" s="549"/>
      <c r="D505" s="549"/>
      <c r="E505" s="549"/>
      <c r="F505" s="549"/>
      <c r="G505" s="549"/>
    </row>
    <row r="506" spans="1:7">
      <c r="A506" s="549"/>
      <c r="B506" s="549"/>
      <c r="C506" s="549"/>
      <c r="D506" s="549"/>
      <c r="E506" s="549"/>
      <c r="F506" s="549"/>
      <c r="G506" s="549"/>
    </row>
    <row r="507" spans="1:7">
      <c r="A507" s="549"/>
      <c r="B507" s="549"/>
      <c r="C507" s="549"/>
      <c r="D507" s="549"/>
      <c r="E507" s="549"/>
      <c r="F507" s="549"/>
      <c r="G507" s="549"/>
    </row>
    <row r="508" spans="1:7">
      <c r="A508" s="549"/>
      <c r="B508" s="549"/>
      <c r="C508" s="549"/>
      <c r="D508" s="549"/>
      <c r="E508" s="549"/>
      <c r="F508" s="549"/>
      <c r="G508" s="549"/>
    </row>
    <row r="509" spans="1:7">
      <c r="A509" s="549"/>
      <c r="B509" s="549"/>
      <c r="C509" s="549"/>
      <c r="D509" s="549"/>
      <c r="E509" s="549"/>
      <c r="F509" s="549"/>
      <c r="G509" s="549"/>
    </row>
    <row r="510" spans="1:7">
      <c r="A510" s="549"/>
      <c r="B510" s="549"/>
      <c r="C510" s="549"/>
      <c r="D510" s="549"/>
      <c r="E510" s="549"/>
      <c r="F510" s="549"/>
      <c r="G510" s="549"/>
    </row>
    <row r="511" spans="1:7">
      <c r="A511" s="549"/>
      <c r="B511" s="549"/>
      <c r="C511" s="549"/>
      <c r="D511" s="549"/>
      <c r="E511" s="549"/>
      <c r="F511" s="549"/>
      <c r="G511" s="549"/>
    </row>
    <row r="512" spans="1:7">
      <c r="A512" s="549"/>
      <c r="B512" s="549"/>
      <c r="C512" s="549"/>
      <c r="D512" s="549"/>
      <c r="E512" s="549"/>
      <c r="F512" s="549"/>
      <c r="G512" s="549"/>
    </row>
    <row r="513" spans="1:7">
      <c r="A513" s="549"/>
      <c r="B513" s="549"/>
      <c r="C513" s="549"/>
      <c r="D513" s="549"/>
      <c r="E513" s="549"/>
      <c r="F513" s="549"/>
      <c r="G513" s="549"/>
    </row>
    <row r="514" spans="1:7">
      <c r="A514" s="549"/>
      <c r="B514" s="549"/>
      <c r="C514" s="549"/>
      <c r="D514" s="549"/>
      <c r="E514" s="549"/>
      <c r="F514" s="549"/>
      <c r="G514" s="549"/>
    </row>
    <row r="515" spans="1:7">
      <c r="A515" s="549"/>
      <c r="B515" s="549"/>
      <c r="C515" s="549"/>
      <c r="D515" s="549"/>
      <c r="E515" s="549"/>
      <c r="F515" s="549"/>
      <c r="G515" s="549"/>
    </row>
    <row r="516" spans="1:7">
      <c r="A516" s="549"/>
      <c r="B516" s="549"/>
      <c r="C516" s="549"/>
      <c r="D516" s="549"/>
      <c r="E516" s="549"/>
      <c r="F516" s="549"/>
      <c r="G516" s="549"/>
    </row>
    <row r="517" spans="1:7">
      <c r="A517" s="549"/>
      <c r="B517" s="549"/>
      <c r="C517" s="549"/>
      <c r="D517" s="549"/>
      <c r="E517" s="549"/>
      <c r="F517" s="549"/>
      <c r="G517" s="549"/>
    </row>
    <row r="518" spans="1:7">
      <c r="A518" s="549"/>
      <c r="B518" s="549"/>
      <c r="C518" s="549"/>
      <c r="D518" s="549"/>
      <c r="E518" s="549"/>
      <c r="F518" s="549"/>
      <c r="G518" s="549"/>
    </row>
    <row r="519" spans="1:7">
      <c r="A519" s="549"/>
      <c r="B519" s="549"/>
      <c r="C519" s="549"/>
      <c r="D519" s="549"/>
      <c r="E519" s="549"/>
      <c r="F519" s="549"/>
      <c r="G519" s="549"/>
    </row>
    <row r="520" spans="1:7">
      <c r="A520" s="549"/>
      <c r="B520" s="549"/>
      <c r="C520" s="549"/>
      <c r="D520" s="549"/>
      <c r="E520" s="549"/>
      <c r="F520" s="549"/>
      <c r="G520" s="549"/>
    </row>
    <row r="521" spans="1:7">
      <c r="A521" s="549"/>
      <c r="B521" s="549"/>
      <c r="C521" s="549"/>
      <c r="D521" s="549"/>
      <c r="E521" s="549"/>
      <c r="F521" s="549"/>
      <c r="G521" s="549"/>
    </row>
    <row r="522" spans="1:7">
      <c r="A522" s="549"/>
      <c r="B522" s="549"/>
      <c r="C522" s="549"/>
      <c r="D522" s="549"/>
      <c r="E522" s="549"/>
      <c r="F522" s="549"/>
      <c r="G522" s="549"/>
    </row>
    <row r="523" spans="1:7">
      <c r="A523" s="549"/>
      <c r="B523" s="549"/>
      <c r="C523" s="549"/>
      <c r="D523" s="549"/>
      <c r="E523" s="549"/>
      <c r="F523" s="549"/>
      <c r="G523" s="549"/>
    </row>
    <row r="524" spans="1:7">
      <c r="A524" s="549"/>
      <c r="B524" s="549"/>
      <c r="C524" s="549"/>
      <c r="D524" s="549"/>
      <c r="E524" s="549"/>
      <c r="F524" s="549"/>
      <c r="G524" s="549"/>
    </row>
    <row r="525" spans="1:7">
      <c r="A525" s="549"/>
      <c r="B525" s="549"/>
      <c r="C525" s="549"/>
      <c r="D525" s="549"/>
      <c r="E525" s="549"/>
      <c r="F525" s="549"/>
      <c r="G525" s="549"/>
    </row>
    <row r="526" spans="1:7">
      <c r="A526" s="549"/>
      <c r="B526" s="549"/>
      <c r="C526" s="549"/>
      <c r="D526" s="549"/>
      <c r="E526" s="549"/>
      <c r="F526" s="549"/>
      <c r="G526" s="549"/>
    </row>
    <row r="527" spans="1:7">
      <c r="A527" s="549"/>
      <c r="B527" s="549"/>
      <c r="C527" s="549"/>
      <c r="D527" s="549"/>
      <c r="E527" s="549"/>
      <c r="F527" s="549"/>
      <c r="G527" s="549"/>
    </row>
    <row r="528" spans="1:7">
      <c r="A528" s="549"/>
      <c r="B528" s="549"/>
      <c r="C528" s="549"/>
      <c r="D528" s="549"/>
      <c r="E528" s="549"/>
      <c r="F528" s="549"/>
      <c r="G528" s="549"/>
    </row>
    <row r="529" spans="1:7">
      <c r="A529" s="549"/>
      <c r="B529" s="549"/>
      <c r="C529" s="549"/>
      <c r="D529" s="549"/>
      <c r="E529" s="549"/>
      <c r="F529" s="549"/>
      <c r="G529" s="549"/>
    </row>
    <row r="530" spans="1:7">
      <c r="A530" s="549"/>
      <c r="B530" s="549"/>
      <c r="C530" s="549"/>
      <c r="D530" s="549"/>
      <c r="E530" s="549"/>
      <c r="F530" s="549"/>
      <c r="G530" s="549"/>
    </row>
    <row r="531" spans="1:7">
      <c r="A531" s="549"/>
      <c r="B531" s="549"/>
      <c r="C531" s="549"/>
      <c r="D531" s="549"/>
      <c r="E531" s="549"/>
      <c r="F531" s="549"/>
      <c r="G531" s="549"/>
    </row>
    <row r="532" spans="1:7">
      <c r="A532" s="549"/>
      <c r="B532" s="549"/>
      <c r="C532" s="549"/>
      <c r="D532" s="549"/>
      <c r="E532" s="549"/>
      <c r="F532" s="549"/>
      <c r="G532" s="549"/>
    </row>
    <row r="533" spans="1:7">
      <c r="A533" s="549"/>
      <c r="B533" s="549"/>
      <c r="C533" s="549"/>
      <c r="D533" s="549"/>
      <c r="E533" s="549"/>
      <c r="F533" s="549"/>
      <c r="G533" s="549"/>
    </row>
    <row r="534" spans="1:7">
      <c r="A534" s="549"/>
      <c r="B534" s="549"/>
      <c r="C534" s="549"/>
      <c r="D534" s="549"/>
      <c r="E534" s="549"/>
      <c r="F534" s="549"/>
      <c r="G534" s="549"/>
    </row>
    <row r="535" spans="1:7">
      <c r="A535" s="549"/>
      <c r="B535" s="549"/>
      <c r="C535" s="549"/>
      <c r="D535" s="549"/>
      <c r="E535" s="549"/>
      <c r="F535" s="549"/>
      <c r="G535" s="549"/>
    </row>
    <row r="536" spans="1:7">
      <c r="A536" s="549"/>
      <c r="B536" s="549"/>
      <c r="C536" s="549"/>
      <c r="D536" s="549"/>
      <c r="E536" s="549"/>
      <c r="F536" s="549"/>
      <c r="G536" s="549"/>
    </row>
    <row r="537" spans="1:7">
      <c r="A537" s="549"/>
      <c r="B537" s="549"/>
      <c r="C537" s="549"/>
      <c r="D537" s="549"/>
      <c r="E537" s="549"/>
      <c r="F537" s="549"/>
      <c r="G537" s="549"/>
    </row>
    <row r="538" spans="1:7">
      <c r="A538" s="549"/>
      <c r="B538" s="549"/>
      <c r="C538" s="549"/>
      <c r="D538" s="549"/>
      <c r="E538" s="549"/>
      <c r="F538" s="549"/>
      <c r="G538" s="549"/>
    </row>
    <row r="539" spans="1:7">
      <c r="A539" s="549"/>
      <c r="B539" s="549"/>
      <c r="C539" s="549"/>
      <c r="D539" s="549"/>
      <c r="E539" s="549"/>
      <c r="F539" s="549"/>
      <c r="G539" s="549"/>
    </row>
    <row r="540" spans="1:7">
      <c r="A540" s="549"/>
      <c r="B540" s="549"/>
      <c r="C540" s="549"/>
      <c r="D540" s="549"/>
      <c r="E540" s="549"/>
      <c r="F540" s="549"/>
      <c r="G540" s="549"/>
    </row>
    <row r="541" spans="1:7">
      <c r="A541" s="549"/>
      <c r="B541" s="549"/>
      <c r="C541" s="549"/>
      <c r="D541" s="549"/>
      <c r="E541" s="549"/>
      <c r="F541" s="549"/>
      <c r="G541" s="549"/>
    </row>
    <row r="542" spans="1:7">
      <c r="A542" s="549"/>
      <c r="B542" s="549"/>
      <c r="C542" s="549"/>
      <c r="D542" s="549"/>
      <c r="E542" s="549"/>
      <c r="F542" s="549"/>
      <c r="G542" s="549"/>
    </row>
    <row r="543" spans="1:7">
      <c r="A543" s="549"/>
      <c r="B543" s="549"/>
      <c r="C543" s="549"/>
      <c r="D543" s="549"/>
      <c r="E543" s="549"/>
      <c r="F543" s="549"/>
      <c r="G543" s="549"/>
    </row>
    <row r="544" spans="1:7">
      <c r="A544" s="549"/>
      <c r="B544" s="549"/>
      <c r="C544" s="549"/>
      <c r="D544" s="549"/>
      <c r="E544" s="549"/>
      <c r="F544" s="549"/>
      <c r="G544" s="549"/>
    </row>
    <row r="545" spans="1:7">
      <c r="A545" s="549"/>
      <c r="B545" s="549"/>
      <c r="C545" s="549"/>
      <c r="D545" s="549"/>
      <c r="E545" s="549"/>
      <c r="F545" s="549"/>
      <c r="G545" s="549"/>
    </row>
    <row r="546" spans="1:7">
      <c r="A546" s="549"/>
      <c r="B546" s="549"/>
      <c r="C546" s="549"/>
      <c r="D546" s="549"/>
      <c r="E546" s="549"/>
      <c r="F546" s="549"/>
      <c r="G546" s="549"/>
    </row>
    <row r="547" spans="1:7">
      <c r="A547" s="549"/>
      <c r="B547" s="549"/>
      <c r="C547" s="549"/>
      <c r="D547" s="549"/>
      <c r="E547" s="549"/>
      <c r="F547" s="549"/>
      <c r="G547" s="549"/>
    </row>
    <row r="548" spans="1:7">
      <c r="A548" s="549"/>
      <c r="B548" s="549"/>
      <c r="C548" s="549"/>
      <c r="D548" s="549"/>
      <c r="E548" s="549"/>
      <c r="F548" s="549"/>
      <c r="G548" s="549"/>
    </row>
    <row r="549" spans="1:7">
      <c r="A549" s="549"/>
      <c r="B549" s="549"/>
      <c r="C549" s="549"/>
      <c r="D549" s="549"/>
      <c r="E549" s="549"/>
      <c r="F549" s="549"/>
      <c r="G549" s="549"/>
    </row>
    <row r="550" spans="1:7">
      <c r="A550" s="549"/>
      <c r="B550" s="549"/>
      <c r="C550" s="549"/>
      <c r="D550" s="549"/>
      <c r="E550" s="549"/>
      <c r="F550" s="549"/>
      <c r="G550" s="549"/>
    </row>
    <row r="551" spans="1:7">
      <c r="A551" s="549"/>
      <c r="B551" s="549"/>
      <c r="C551" s="549"/>
      <c r="D551" s="549"/>
      <c r="E551" s="549"/>
      <c r="F551" s="549"/>
      <c r="G551" s="549"/>
    </row>
    <row r="552" spans="1:7">
      <c r="A552" s="549"/>
      <c r="B552" s="549"/>
      <c r="C552" s="549"/>
      <c r="D552" s="549"/>
      <c r="E552" s="549"/>
      <c r="F552" s="549"/>
      <c r="G552" s="549"/>
    </row>
    <row r="553" spans="1:7">
      <c r="A553" s="549"/>
      <c r="B553" s="549"/>
      <c r="C553" s="549"/>
      <c r="D553" s="549"/>
      <c r="E553" s="549"/>
      <c r="F553" s="549"/>
      <c r="G553" s="549"/>
    </row>
    <row r="554" spans="1:7">
      <c r="A554" s="549"/>
      <c r="B554" s="549"/>
      <c r="C554" s="549"/>
      <c r="D554" s="549"/>
      <c r="E554" s="549"/>
      <c r="F554" s="549"/>
      <c r="G554" s="549"/>
    </row>
    <row r="555" spans="1:7">
      <c r="A555" s="549"/>
      <c r="B555" s="549"/>
      <c r="C555" s="549"/>
      <c r="D555" s="549"/>
      <c r="E555" s="549"/>
      <c r="F555" s="549"/>
      <c r="G555" s="549"/>
    </row>
    <row r="556" spans="1:7">
      <c r="A556" s="549"/>
      <c r="B556" s="549"/>
      <c r="C556" s="549"/>
      <c r="D556" s="549"/>
      <c r="E556" s="549"/>
      <c r="F556" s="549"/>
      <c r="G556" s="549"/>
    </row>
    <row r="557" spans="1:7">
      <c r="A557" s="549"/>
      <c r="B557" s="549"/>
      <c r="C557" s="549"/>
      <c r="D557" s="549"/>
      <c r="E557" s="549"/>
      <c r="F557" s="549"/>
      <c r="G557" s="549"/>
    </row>
    <row r="558" spans="1:7">
      <c r="A558" s="549"/>
      <c r="B558" s="549"/>
      <c r="C558" s="549"/>
      <c r="D558" s="549"/>
      <c r="E558" s="549"/>
      <c r="F558" s="549"/>
      <c r="G558" s="549"/>
    </row>
    <row r="559" spans="1:7">
      <c r="A559" s="549"/>
      <c r="B559" s="549"/>
      <c r="C559" s="549"/>
      <c r="D559" s="549"/>
      <c r="E559" s="549"/>
      <c r="F559" s="549"/>
      <c r="G559" s="549"/>
    </row>
    <row r="560" spans="1:7">
      <c r="A560" s="549"/>
      <c r="B560" s="549"/>
      <c r="C560" s="549"/>
      <c r="D560" s="549"/>
      <c r="E560" s="549"/>
      <c r="F560" s="549"/>
      <c r="G560" s="549"/>
    </row>
    <row r="561" spans="1:7">
      <c r="A561" s="549"/>
      <c r="B561" s="549"/>
      <c r="C561" s="549"/>
      <c r="D561" s="549"/>
      <c r="E561" s="549"/>
      <c r="F561" s="549"/>
      <c r="G561" s="549"/>
    </row>
    <row r="562" spans="1:7">
      <c r="A562" s="549"/>
      <c r="B562" s="549"/>
      <c r="C562" s="549"/>
      <c r="D562" s="549"/>
      <c r="E562" s="549"/>
      <c r="F562" s="549"/>
      <c r="G562" s="549"/>
    </row>
    <row r="563" spans="1:7">
      <c r="A563" s="549"/>
      <c r="B563" s="549"/>
      <c r="C563" s="549"/>
      <c r="D563" s="549"/>
      <c r="E563" s="549"/>
      <c r="F563" s="549"/>
      <c r="G563" s="549"/>
    </row>
    <row r="564" spans="1:7">
      <c r="A564" s="549"/>
      <c r="B564" s="549"/>
      <c r="C564" s="549"/>
      <c r="D564" s="549"/>
      <c r="E564" s="549"/>
      <c r="F564" s="549"/>
      <c r="G564" s="549"/>
    </row>
    <row r="565" spans="1:7">
      <c r="A565" s="549"/>
      <c r="B565" s="549"/>
      <c r="C565" s="549"/>
      <c r="D565" s="549"/>
      <c r="E565" s="549"/>
      <c r="F565" s="549"/>
      <c r="G565" s="549"/>
    </row>
    <row r="566" spans="1:7">
      <c r="A566" s="549"/>
      <c r="B566" s="549"/>
      <c r="C566" s="549"/>
      <c r="D566" s="549"/>
      <c r="E566" s="549"/>
      <c r="F566" s="549"/>
      <c r="G566" s="549"/>
    </row>
    <row r="567" spans="1:7">
      <c r="A567" s="549"/>
      <c r="B567" s="549"/>
      <c r="C567" s="549"/>
      <c r="D567" s="549"/>
      <c r="E567" s="549"/>
      <c r="F567" s="549"/>
      <c r="G567" s="549"/>
    </row>
    <row r="568" spans="1:7">
      <c r="A568" s="549"/>
      <c r="B568" s="549"/>
      <c r="C568" s="549"/>
      <c r="D568" s="549"/>
      <c r="E568" s="549"/>
      <c r="F568" s="549"/>
      <c r="G568" s="549"/>
    </row>
    <row r="569" spans="1:7">
      <c r="A569" s="549"/>
      <c r="B569" s="549"/>
      <c r="C569" s="549"/>
      <c r="D569" s="549"/>
      <c r="E569" s="549"/>
      <c r="F569" s="549"/>
      <c r="G569" s="549"/>
    </row>
    <row r="570" spans="1:7">
      <c r="A570" s="549"/>
      <c r="B570" s="549"/>
      <c r="C570" s="549"/>
      <c r="D570" s="549"/>
      <c r="E570" s="549"/>
      <c r="F570" s="549"/>
      <c r="G570" s="549"/>
    </row>
    <row r="571" spans="1:7">
      <c r="A571" s="549"/>
      <c r="B571" s="549"/>
      <c r="C571" s="549"/>
      <c r="D571" s="549"/>
      <c r="E571" s="549"/>
      <c r="F571" s="549"/>
      <c r="G571" s="549"/>
    </row>
    <row r="572" spans="1:7">
      <c r="A572" s="549"/>
      <c r="B572" s="549"/>
      <c r="C572" s="549"/>
      <c r="D572" s="549"/>
      <c r="E572" s="549"/>
      <c r="F572" s="549"/>
      <c r="G572" s="549"/>
    </row>
    <row r="573" spans="1:7">
      <c r="A573" s="549"/>
      <c r="B573" s="549"/>
      <c r="C573" s="549"/>
      <c r="D573" s="549"/>
      <c r="E573" s="549"/>
      <c r="F573" s="549"/>
      <c r="G573" s="549"/>
    </row>
    <row r="574" spans="1:7">
      <c r="A574" s="549"/>
      <c r="B574" s="549"/>
      <c r="C574" s="549"/>
      <c r="D574" s="549"/>
      <c r="E574" s="549"/>
      <c r="F574" s="549"/>
      <c r="G574" s="549"/>
    </row>
    <row r="575" spans="1:7">
      <c r="A575" s="549"/>
      <c r="B575" s="549"/>
      <c r="C575" s="549"/>
      <c r="D575" s="549"/>
      <c r="E575" s="549"/>
      <c r="F575" s="549"/>
      <c r="G575" s="549"/>
    </row>
    <row r="576" spans="1:7">
      <c r="A576" s="549"/>
      <c r="B576" s="549"/>
      <c r="C576" s="549"/>
      <c r="D576" s="549"/>
      <c r="E576" s="549"/>
      <c r="F576" s="549"/>
      <c r="G576" s="549"/>
    </row>
    <row r="577" spans="1:7">
      <c r="A577" s="549"/>
      <c r="B577" s="549"/>
      <c r="C577" s="549"/>
      <c r="D577" s="549"/>
      <c r="E577" s="549"/>
      <c r="F577" s="549"/>
      <c r="G577" s="549"/>
    </row>
    <row r="578" spans="1:7">
      <c r="A578" s="549"/>
      <c r="B578" s="549"/>
      <c r="C578" s="549"/>
      <c r="D578" s="549"/>
      <c r="E578" s="549"/>
      <c r="F578" s="549"/>
      <c r="G578" s="549"/>
    </row>
    <row r="579" spans="1:7">
      <c r="A579" s="549"/>
      <c r="B579" s="549"/>
      <c r="C579" s="549"/>
      <c r="D579" s="549"/>
      <c r="E579" s="549"/>
      <c r="F579" s="549"/>
      <c r="G579" s="549"/>
    </row>
    <row r="580" spans="1:7">
      <c r="A580" s="549"/>
      <c r="B580" s="549"/>
      <c r="C580" s="549"/>
      <c r="D580" s="549"/>
      <c r="E580" s="549"/>
      <c r="F580" s="549"/>
      <c r="G580" s="549"/>
    </row>
    <row r="581" spans="1:7">
      <c r="A581" s="549"/>
      <c r="B581" s="549"/>
      <c r="C581" s="549"/>
      <c r="D581" s="549"/>
      <c r="E581" s="549"/>
      <c r="F581" s="549"/>
      <c r="G581" s="549"/>
    </row>
    <row r="582" spans="1:7">
      <c r="A582" s="549"/>
      <c r="B582" s="549"/>
      <c r="C582" s="549"/>
      <c r="D582" s="549"/>
      <c r="E582" s="549"/>
      <c r="F582" s="549"/>
      <c r="G582" s="549"/>
    </row>
    <row r="583" spans="1:7">
      <c r="A583" s="549"/>
      <c r="B583" s="549"/>
      <c r="C583" s="549"/>
      <c r="D583" s="549"/>
      <c r="E583" s="549"/>
      <c r="F583" s="549"/>
      <c r="G583" s="549"/>
    </row>
    <row r="584" spans="1:7">
      <c r="A584" s="549"/>
      <c r="B584" s="549"/>
      <c r="C584" s="549"/>
      <c r="D584" s="549"/>
      <c r="E584" s="549"/>
      <c r="F584" s="549"/>
      <c r="G584" s="549"/>
    </row>
    <row r="585" spans="1:7">
      <c r="A585" s="549"/>
      <c r="B585" s="549"/>
      <c r="C585" s="549"/>
      <c r="D585" s="549"/>
      <c r="E585" s="549"/>
      <c r="F585" s="549"/>
      <c r="G585" s="549"/>
    </row>
    <row r="586" spans="1:7">
      <c r="A586" s="549"/>
      <c r="B586" s="549"/>
      <c r="C586" s="549"/>
      <c r="D586" s="549"/>
      <c r="E586" s="549"/>
      <c r="F586" s="549"/>
      <c r="G586" s="549"/>
    </row>
    <row r="587" spans="1:7">
      <c r="A587" s="549"/>
      <c r="B587" s="549"/>
      <c r="C587" s="549"/>
      <c r="D587" s="549"/>
      <c r="E587" s="549"/>
      <c r="F587" s="549"/>
      <c r="G587" s="549"/>
    </row>
    <row r="588" spans="1:7">
      <c r="A588" s="549"/>
      <c r="B588" s="549"/>
      <c r="C588" s="549"/>
      <c r="D588" s="549"/>
      <c r="E588" s="549"/>
      <c r="F588" s="549"/>
      <c r="G588" s="549"/>
    </row>
    <row r="589" spans="1:7">
      <c r="A589" s="549"/>
      <c r="B589" s="549"/>
      <c r="C589" s="549"/>
      <c r="D589" s="549"/>
      <c r="E589" s="549"/>
      <c r="F589" s="549"/>
      <c r="G589" s="549"/>
    </row>
    <row r="590" spans="1:7">
      <c r="A590" s="549"/>
      <c r="B590" s="549"/>
      <c r="C590" s="549"/>
      <c r="D590" s="549"/>
      <c r="E590" s="549"/>
      <c r="F590" s="549"/>
      <c r="G590" s="549"/>
    </row>
    <row r="591" spans="1:7">
      <c r="A591" s="549"/>
      <c r="B591" s="549"/>
      <c r="C591" s="549"/>
      <c r="D591" s="549"/>
      <c r="E591" s="549"/>
      <c r="F591" s="549"/>
      <c r="G591" s="549"/>
    </row>
    <row r="592" spans="1:7">
      <c r="A592" s="549"/>
      <c r="B592" s="549"/>
      <c r="C592" s="549"/>
      <c r="D592" s="549"/>
      <c r="E592" s="549"/>
      <c r="F592" s="549"/>
      <c r="G592" s="549"/>
    </row>
    <row r="593" spans="1:7">
      <c r="A593" s="549"/>
      <c r="B593" s="549"/>
      <c r="C593" s="549"/>
      <c r="D593" s="549"/>
      <c r="E593" s="549"/>
      <c r="F593" s="549"/>
      <c r="G593" s="549"/>
    </row>
    <row r="594" spans="1:7">
      <c r="A594" s="549"/>
      <c r="B594" s="549"/>
      <c r="C594" s="549"/>
      <c r="D594" s="549"/>
      <c r="E594" s="549"/>
      <c r="F594" s="549"/>
      <c r="G594" s="549"/>
    </row>
    <row r="595" spans="1:7">
      <c r="A595" s="549"/>
      <c r="B595" s="549"/>
      <c r="C595" s="549"/>
      <c r="D595" s="549"/>
      <c r="E595" s="549"/>
      <c r="F595" s="549"/>
      <c r="G595" s="549"/>
    </row>
    <row r="596" spans="1:7">
      <c r="A596" s="549"/>
      <c r="B596" s="549"/>
      <c r="C596" s="549"/>
      <c r="D596" s="549"/>
      <c r="E596" s="549"/>
      <c r="F596" s="549"/>
      <c r="G596" s="549"/>
    </row>
    <row r="597" spans="1:7">
      <c r="A597" s="549"/>
      <c r="B597" s="549"/>
      <c r="C597" s="549"/>
      <c r="D597" s="549"/>
      <c r="E597" s="549"/>
      <c r="F597" s="549"/>
      <c r="G597" s="549"/>
    </row>
    <row r="598" spans="1:7">
      <c r="A598" s="549"/>
      <c r="B598" s="549"/>
      <c r="C598" s="549"/>
      <c r="D598" s="549"/>
      <c r="E598" s="549"/>
      <c r="F598" s="549"/>
      <c r="G598" s="549"/>
    </row>
    <row r="599" spans="1:7">
      <c r="A599" s="549"/>
      <c r="B599" s="549"/>
      <c r="C599" s="549"/>
      <c r="D599" s="549"/>
      <c r="E599" s="549"/>
      <c r="F599" s="549"/>
      <c r="G599" s="549"/>
    </row>
    <row r="600" spans="1:7">
      <c r="A600" s="549"/>
      <c r="B600" s="549"/>
      <c r="C600" s="549"/>
      <c r="D600" s="549"/>
      <c r="E600" s="549"/>
      <c r="F600" s="549"/>
      <c r="G600" s="549"/>
    </row>
    <row r="601" spans="1:7">
      <c r="A601" s="549"/>
      <c r="B601" s="549"/>
      <c r="C601" s="549"/>
      <c r="D601" s="549"/>
      <c r="E601" s="549"/>
      <c r="F601" s="549"/>
      <c r="G601" s="549"/>
    </row>
    <row r="602" spans="1:7">
      <c r="A602" s="549"/>
      <c r="B602" s="549"/>
      <c r="C602" s="549"/>
      <c r="D602" s="549"/>
      <c r="E602" s="549"/>
      <c r="F602" s="549"/>
      <c r="G602" s="549"/>
    </row>
    <row r="603" spans="1:7">
      <c r="A603" s="549"/>
      <c r="B603" s="549"/>
      <c r="C603" s="549"/>
      <c r="D603" s="549"/>
      <c r="E603" s="549"/>
      <c r="F603" s="549"/>
      <c r="G603" s="549"/>
    </row>
    <row r="604" spans="1:7">
      <c r="A604" s="549"/>
      <c r="B604" s="549"/>
      <c r="C604" s="549"/>
      <c r="D604" s="549"/>
      <c r="E604" s="549"/>
      <c r="F604" s="549"/>
      <c r="G604" s="549"/>
    </row>
    <row r="605" spans="1:7">
      <c r="A605" s="549"/>
      <c r="B605" s="549"/>
      <c r="C605" s="549"/>
      <c r="D605" s="549"/>
      <c r="E605" s="549"/>
      <c r="F605" s="549"/>
      <c r="G605" s="549"/>
    </row>
    <row r="606" spans="1:7">
      <c r="A606" s="549"/>
      <c r="B606" s="549"/>
      <c r="C606" s="549"/>
      <c r="D606" s="549"/>
      <c r="E606" s="549"/>
      <c r="F606" s="549"/>
      <c r="G606" s="549"/>
    </row>
    <row r="607" spans="1:7">
      <c r="A607" s="549"/>
      <c r="B607" s="549"/>
      <c r="C607" s="549"/>
      <c r="D607" s="549"/>
      <c r="E607" s="549"/>
      <c r="F607" s="549"/>
      <c r="G607" s="549"/>
    </row>
    <row r="608" spans="1:7">
      <c r="A608" s="549"/>
      <c r="B608" s="549"/>
      <c r="C608" s="549"/>
      <c r="D608" s="549"/>
      <c r="E608" s="549"/>
      <c r="F608" s="549"/>
      <c r="G608" s="549"/>
    </row>
    <row r="609" spans="1:7">
      <c r="A609" s="549"/>
      <c r="B609" s="549"/>
      <c r="C609" s="549"/>
      <c r="D609" s="549"/>
      <c r="E609" s="549"/>
      <c r="F609" s="549"/>
      <c r="G609" s="549"/>
    </row>
    <row r="610" spans="1:7">
      <c r="A610" s="549"/>
      <c r="B610" s="549"/>
      <c r="C610" s="549"/>
      <c r="D610" s="549"/>
      <c r="E610" s="549"/>
      <c r="F610" s="549"/>
      <c r="G610" s="549"/>
    </row>
    <row r="611" spans="1:7">
      <c r="A611" s="549"/>
      <c r="B611" s="549"/>
      <c r="C611" s="549"/>
      <c r="D611" s="549"/>
      <c r="E611" s="549"/>
      <c r="F611" s="549"/>
      <c r="G611" s="549"/>
    </row>
    <row r="612" spans="1:7">
      <c r="A612" s="549"/>
      <c r="B612" s="549"/>
      <c r="C612" s="549"/>
      <c r="D612" s="549"/>
      <c r="E612" s="549"/>
      <c r="F612" s="549"/>
      <c r="G612" s="549"/>
    </row>
    <row r="613" spans="1:7">
      <c r="A613" s="549"/>
      <c r="B613" s="549"/>
      <c r="C613" s="549"/>
      <c r="D613" s="549"/>
      <c r="E613" s="549"/>
      <c r="F613" s="549"/>
      <c r="G613" s="549"/>
    </row>
    <row r="614" spans="1:7">
      <c r="A614" s="549"/>
      <c r="B614" s="549"/>
      <c r="C614" s="549"/>
      <c r="D614" s="549"/>
      <c r="E614" s="549"/>
      <c r="F614" s="549"/>
      <c r="G614" s="549"/>
    </row>
    <row r="615" spans="1:7">
      <c r="A615" s="549"/>
      <c r="B615" s="549"/>
      <c r="C615" s="549"/>
      <c r="D615" s="549"/>
      <c r="E615" s="549"/>
      <c r="F615" s="549"/>
      <c r="G615" s="549"/>
    </row>
    <row r="616" spans="1:7">
      <c r="A616" s="549"/>
      <c r="B616" s="549"/>
      <c r="C616" s="549"/>
      <c r="D616" s="549"/>
      <c r="E616" s="549"/>
      <c r="F616" s="549"/>
      <c r="G616" s="549"/>
    </row>
    <row r="617" spans="1:7">
      <c r="A617" s="549"/>
      <c r="B617" s="549"/>
      <c r="C617" s="549"/>
      <c r="D617" s="549"/>
      <c r="E617" s="549"/>
      <c r="F617" s="549"/>
      <c r="G617" s="549"/>
    </row>
    <row r="618" spans="1:7">
      <c r="A618" s="549"/>
      <c r="B618" s="549"/>
      <c r="C618" s="549"/>
      <c r="D618" s="549"/>
      <c r="E618" s="549"/>
      <c r="F618" s="549"/>
      <c r="G618" s="549"/>
    </row>
    <row r="619" spans="1:7">
      <c r="A619" s="549"/>
      <c r="B619" s="549"/>
      <c r="C619" s="549"/>
      <c r="D619" s="549"/>
      <c r="E619" s="549"/>
      <c r="F619" s="549"/>
      <c r="G619" s="549"/>
    </row>
    <row r="620" spans="1:7">
      <c r="A620" s="549"/>
      <c r="B620" s="549"/>
      <c r="C620" s="549"/>
      <c r="D620" s="549"/>
      <c r="E620" s="549"/>
      <c r="F620" s="549"/>
      <c r="G620" s="549"/>
    </row>
    <row r="621" spans="1:7">
      <c r="A621" s="549"/>
      <c r="B621" s="549"/>
      <c r="C621" s="549"/>
      <c r="D621" s="549"/>
      <c r="E621" s="549"/>
      <c r="F621" s="549"/>
      <c r="G621" s="549"/>
    </row>
    <row r="622" spans="1:7">
      <c r="A622" s="549"/>
      <c r="B622" s="549"/>
      <c r="C622" s="549"/>
      <c r="D622" s="549"/>
      <c r="E622" s="549"/>
      <c r="F622" s="549"/>
      <c r="G622" s="549"/>
    </row>
    <row r="623" spans="1:7">
      <c r="A623" s="549"/>
      <c r="B623" s="549"/>
      <c r="C623" s="549"/>
      <c r="D623" s="549"/>
      <c r="E623" s="549"/>
      <c r="F623" s="549"/>
      <c r="G623" s="549"/>
    </row>
    <row r="624" spans="1:7">
      <c r="A624" s="549"/>
      <c r="B624" s="549"/>
      <c r="C624" s="549"/>
      <c r="D624" s="549"/>
      <c r="E624" s="549"/>
      <c r="F624" s="549"/>
      <c r="G624" s="549"/>
    </row>
    <row r="625" spans="1:7">
      <c r="A625" s="549"/>
      <c r="B625" s="549"/>
      <c r="C625" s="549"/>
      <c r="D625" s="549"/>
      <c r="E625" s="549"/>
      <c r="F625" s="549"/>
      <c r="G625" s="549"/>
    </row>
    <row r="626" spans="1:7">
      <c r="A626" s="549"/>
      <c r="B626" s="549"/>
      <c r="C626" s="549"/>
      <c r="D626" s="549"/>
      <c r="E626" s="549"/>
      <c r="F626" s="549"/>
      <c r="G626" s="549"/>
    </row>
    <row r="627" spans="1:7">
      <c r="A627" s="549"/>
      <c r="B627" s="549"/>
      <c r="C627" s="549"/>
      <c r="D627" s="549"/>
      <c r="E627" s="549"/>
      <c r="F627" s="549"/>
      <c r="G627" s="549"/>
    </row>
    <row r="628" spans="1:7">
      <c r="A628" s="549"/>
      <c r="B628" s="549"/>
      <c r="C628" s="549"/>
      <c r="D628" s="549"/>
      <c r="E628" s="549"/>
      <c r="F628" s="549"/>
      <c r="G628" s="549"/>
    </row>
    <row r="629" spans="1:7">
      <c r="A629" s="549"/>
      <c r="B629" s="549"/>
      <c r="C629" s="549"/>
      <c r="D629" s="549"/>
      <c r="E629" s="549"/>
      <c r="F629" s="549"/>
      <c r="G629" s="549"/>
    </row>
    <row r="630" spans="1:7">
      <c r="A630" s="549"/>
      <c r="B630" s="549"/>
      <c r="C630" s="549"/>
      <c r="D630" s="549"/>
      <c r="E630" s="549"/>
      <c r="F630" s="549"/>
      <c r="G630" s="549"/>
    </row>
    <row r="631" spans="1:7">
      <c r="A631" s="549"/>
      <c r="B631" s="549"/>
      <c r="C631" s="549"/>
      <c r="D631" s="549"/>
      <c r="E631" s="549"/>
      <c r="F631" s="549"/>
      <c r="G631" s="549"/>
    </row>
    <row r="632" spans="1:7">
      <c r="A632" s="549"/>
      <c r="B632" s="549"/>
      <c r="C632" s="549"/>
      <c r="D632" s="549"/>
      <c r="E632" s="549"/>
      <c r="F632" s="549"/>
      <c r="G632" s="549"/>
    </row>
    <row r="633" spans="1:7">
      <c r="A633" s="549"/>
      <c r="B633" s="549"/>
      <c r="C633" s="549"/>
      <c r="D633" s="549"/>
      <c r="E633" s="549"/>
      <c r="F633" s="549"/>
      <c r="G633" s="549"/>
    </row>
    <row r="634" spans="1:7">
      <c r="A634" s="549"/>
      <c r="B634" s="549"/>
      <c r="C634" s="549"/>
      <c r="D634" s="549"/>
      <c r="E634" s="549"/>
      <c r="F634" s="549"/>
      <c r="G634" s="549"/>
    </row>
    <row r="635" spans="1:7">
      <c r="A635" s="549"/>
      <c r="B635" s="549"/>
      <c r="C635" s="549"/>
      <c r="D635" s="549"/>
      <c r="E635" s="549"/>
      <c r="F635" s="549"/>
      <c r="G635" s="549"/>
    </row>
    <row r="636" spans="1:7">
      <c r="A636" s="549"/>
      <c r="B636" s="549"/>
      <c r="C636" s="549"/>
      <c r="D636" s="549"/>
      <c r="E636" s="549"/>
      <c r="F636" s="549"/>
      <c r="G636" s="549"/>
    </row>
    <row r="637" spans="1:7">
      <c r="A637" s="549"/>
      <c r="B637" s="549"/>
      <c r="C637" s="549"/>
      <c r="D637" s="549"/>
      <c r="E637" s="549"/>
      <c r="F637" s="549"/>
      <c r="G637" s="549"/>
    </row>
    <row r="638" spans="1:7">
      <c r="A638" s="549"/>
      <c r="B638" s="549"/>
      <c r="C638" s="549"/>
      <c r="D638" s="549"/>
      <c r="E638" s="549"/>
      <c r="F638" s="549"/>
      <c r="G638" s="549"/>
    </row>
    <row r="639" spans="1:7">
      <c r="A639" s="549"/>
      <c r="B639" s="549"/>
      <c r="C639" s="549"/>
      <c r="D639" s="549"/>
      <c r="E639" s="549"/>
      <c r="F639" s="549"/>
      <c r="G639" s="549"/>
    </row>
    <row r="640" spans="1:7">
      <c r="A640" s="549"/>
      <c r="B640" s="549"/>
      <c r="C640" s="549"/>
      <c r="D640" s="549"/>
      <c r="E640" s="549"/>
      <c r="F640" s="549"/>
      <c r="G640" s="549"/>
    </row>
    <row r="641" spans="1:7">
      <c r="A641" s="549"/>
      <c r="B641" s="549"/>
      <c r="C641" s="549"/>
      <c r="D641" s="549"/>
      <c r="E641" s="549"/>
      <c r="F641" s="549"/>
      <c r="G641" s="549"/>
    </row>
    <row r="642" spans="1:7">
      <c r="A642" s="549"/>
      <c r="B642" s="549"/>
      <c r="C642" s="549"/>
      <c r="D642" s="549"/>
      <c r="E642" s="549"/>
      <c r="F642" s="549"/>
      <c r="G642" s="549"/>
    </row>
    <row r="643" spans="1:7">
      <c r="A643" s="549"/>
      <c r="B643" s="549"/>
      <c r="C643" s="549"/>
      <c r="D643" s="549"/>
      <c r="E643" s="549"/>
      <c r="F643" s="549"/>
      <c r="G643" s="549"/>
    </row>
    <row r="644" spans="1:7">
      <c r="A644" s="549"/>
      <c r="B644" s="549"/>
      <c r="C644" s="549"/>
      <c r="D644" s="549"/>
      <c r="E644" s="549"/>
      <c r="F644" s="549"/>
      <c r="G644" s="549"/>
    </row>
    <row r="645" spans="1:7">
      <c r="A645" s="549"/>
      <c r="B645" s="549"/>
      <c r="C645" s="549"/>
      <c r="D645" s="549"/>
      <c r="E645" s="549"/>
      <c r="F645" s="549"/>
      <c r="G645" s="549"/>
    </row>
    <row r="646" spans="1:7">
      <c r="A646" s="549"/>
      <c r="B646" s="549"/>
      <c r="C646" s="549"/>
      <c r="D646" s="549"/>
      <c r="E646" s="549"/>
      <c r="F646" s="549"/>
      <c r="G646" s="549"/>
    </row>
    <row r="647" spans="1:7">
      <c r="A647" s="549"/>
      <c r="B647" s="549"/>
      <c r="C647" s="549"/>
      <c r="D647" s="549"/>
      <c r="E647" s="549"/>
      <c r="F647" s="549"/>
      <c r="G647" s="549"/>
    </row>
    <row r="648" spans="1:7">
      <c r="A648" s="549"/>
      <c r="B648" s="549"/>
      <c r="C648" s="549"/>
      <c r="D648" s="549"/>
      <c r="E648" s="549"/>
      <c r="F648" s="549"/>
      <c r="G648" s="549"/>
    </row>
    <row r="649" spans="1:7">
      <c r="A649" s="549"/>
      <c r="B649" s="549"/>
      <c r="C649" s="549"/>
      <c r="D649" s="549"/>
      <c r="E649" s="549"/>
      <c r="F649" s="549"/>
      <c r="G649" s="549"/>
    </row>
    <row r="650" spans="1:7">
      <c r="A650" s="549"/>
      <c r="B650" s="549"/>
      <c r="C650" s="549"/>
      <c r="D650" s="549"/>
      <c r="E650" s="549"/>
      <c r="F650" s="549"/>
      <c r="G650" s="549"/>
    </row>
    <row r="651" spans="1:7">
      <c r="A651" s="549"/>
      <c r="B651" s="549"/>
      <c r="C651" s="549"/>
      <c r="D651" s="549"/>
      <c r="E651" s="549"/>
      <c r="F651" s="549"/>
      <c r="G651" s="549"/>
    </row>
    <row r="652" spans="1:7">
      <c r="A652" s="549"/>
      <c r="B652" s="549"/>
      <c r="C652" s="549"/>
      <c r="D652" s="549"/>
      <c r="E652" s="549"/>
      <c r="F652" s="549"/>
      <c r="G652" s="549"/>
    </row>
    <row r="653" spans="1:7">
      <c r="A653" s="549"/>
      <c r="B653" s="549"/>
      <c r="C653" s="549"/>
      <c r="D653" s="549"/>
      <c r="E653" s="549"/>
      <c r="F653" s="549"/>
      <c r="G653" s="549"/>
    </row>
    <row r="654" spans="1:7">
      <c r="A654" s="549"/>
      <c r="B654" s="549"/>
      <c r="C654" s="549"/>
      <c r="D654" s="549"/>
      <c r="E654" s="549"/>
      <c r="F654" s="549"/>
      <c r="G654" s="549"/>
    </row>
    <row r="655" spans="1:7">
      <c r="A655" s="549"/>
      <c r="B655" s="549"/>
      <c r="C655" s="549"/>
      <c r="D655" s="549"/>
      <c r="E655" s="549"/>
      <c r="F655" s="549"/>
      <c r="G655" s="549"/>
    </row>
    <row r="656" spans="1:7">
      <c r="A656" s="549"/>
      <c r="B656" s="549"/>
      <c r="C656" s="549"/>
      <c r="D656" s="549"/>
      <c r="E656" s="549"/>
      <c r="F656" s="549"/>
      <c r="G656" s="549"/>
    </row>
    <row r="657" spans="1:7">
      <c r="A657" s="549"/>
      <c r="B657" s="549"/>
      <c r="C657" s="549"/>
      <c r="D657" s="549"/>
      <c r="E657" s="549"/>
      <c r="F657" s="549"/>
      <c r="G657" s="549"/>
    </row>
    <row r="658" spans="1:7">
      <c r="A658" s="549"/>
      <c r="B658" s="549"/>
      <c r="C658" s="549"/>
      <c r="D658" s="549"/>
      <c r="E658" s="549"/>
      <c r="F658" s="549"/>
      <c r="G658" s="549"/>
    </row>
    <row r="659" spans="1:7">
      <c r="A659" s="549"/>
      <c r="B659" s="549"/>
      <c r="C659" s="549"/>
      <c r="D659" s="549"/>
      <c r="E659" s="549"/>
      <c r="F659" s="549"/>
      <c r="G659" s="549"/>
    </row>
    <row r="660" spans="1:7">
      <c r="A660" s="549"/>
      <c r="B660" s="549"/>
      <c r="C660" s="549"/>
      <c r="D660" s="549"/>
      <c r="E660" s="549"/>
      <c r="F660" s="549"/>
      <c r="G660" s="549"/>
    </row>
    <row r="661" spans="1:7">
      <c r="A661" s="549"/>
      <c r="B661" s="549"/>
      <c r="C661" s="549"/>
      <c r="D661" s="549"/>
      <c r="E661" s="549"/>
      <c r="F661" s="549"/>
      <c r="G661" s="549"/>
    </row>
    <row r="662" spans="1:7">
      <c r="A662" s="549"/>
      <c r="B662" s="549"/>
      <c r="C662" s="549"/>
      <c r="D662" s="549"/>
      <c r="E662" s="549"/>
      <c r="F662" s="549"/>
      <c r="G662" s="549"/>
    </row>
    <row r="663" spans="1:7">
      <c r="A663" s="549"/>
      <c r="B663" s="549"/>
      <c r="C663" s="549"/>
      <c r="D663" s="549"/>
      <c r="E663" s="549"/>
      <c r="F663" s="549"/>
      <c r="G663" s="549"/>
    </row>
    <row r="664" spans="1:7">
      <c r="A664" s="549"/>
      <c r="B664" s="549"/>
      <c r="C664" s="549"/>
      <c r="D664" s="549"/>
      <c r="E664" s="549"/>
      <c r="F664" s="549"/>
      <c r="G664" s="549"/>
    </row>
    <row r="665" spans="1:7">
      <c r="A665" s="549"/>
      <c r="B665" s="549"/>
      <c r="C665" s="549"/>
      <c r="D665" s="549"/>
      <c r="E665" s="549"/>
      <c r="F665" s="549"/>
      <c r="G665" s="549"/>
    </row>
    <row r="666" spans="1:7">
      <c r="A666" s="549"/>
      <c r="B666" s="549"/>
      <c r="C666" s="549"/>
      <c r="D666" s="549"/>
      <c r="E666" s="549"/>
      <c r="F666" s="549"/>
      <c r="G666" s="549"/>
    </row>
    <row r="667" spans="1:7">
      <c r="A667" s="549"/>
      <c r="B667" s="549"/>
      <c r="C667" s="549"/>
      <c r="D667" s="549"/>
      <c r="E667" s="549"/>
      <c r="F667" s="549"/>
      <c r="G667" s="549"/>
    </row>
    <row r="668" spans="1:7">
      <c r="A668" s="549"/>
      <c r="B668" s="549"/>
      <c r="C668" s="549"/>
      <c r="D668" s="549"/>
      <c r="E668" s="549"/>
      <c r="F668" s="549"/>
      <c r="G668" s="549"/>
    </row>
    <row r="669" spans="1:7">
      <c r="A669" s="549"/>
      <c r="B669" s="549"/>
      <c r="C669" s="549"/>
      <c r="D669" s="549"/>
      <c r="E669" s="549"/>
      <c r="F669" s="549"/>
      <c r="G669" s="549"/>
    </row>
    <row r="670" spans="1:7">
      <c r="A670" s="549"/>
      <c r="B670" s="549"/>
      <c r="C670" s="549"/>
      <c r="D670" s="549"/>
      <c r="E670" s="549"/>
      <c r="F670" s="549"/>
      <c r="G670" s="549"/>
    </row>
    <row r="671" spans="1:7">
      <c r="A671" s="549"/>
      <c r="B671" s="549"/>
      <c r="C671" s="549"/>
      <c r="D671" s="549"/>
      <c r="E671" s="549"/>
      <c r="F671" s="549"/>
      <c r="G671" s="549"/>
    </row>
    <row r="672" spans="1:7">
      <c r="A672" s="549"/>
      <c r="B672" s="549"/>
      <c r="C672" s="549"/>
      <c r="D672" s="549"/>
      <c r="E672" s="549"/>
      <c r="F672" s="549"/>
      <c r="G672" s="549"/>
    </row>
    <row r="673" spans="1:7">
      <c r="A673" s="549"/>
      <c r="B673" s="549"/>
      <c r="C673" s="549"/>
      <c r="D673" s="549"/>
      <c r="E673" s="549"/>
      <c r="F673" s="549"/>
      <c r="G673" s="549"/>
    </row>
    <row r="674" spans="1:7">
      <c r="A674" s="549"/>
      <c r="B674" s="549"/>
      <c r="C674" s="549"/>
      <c r="D674" s="549"/>
      <c r="E674" s="549"/>
      <c r="F674" s="549"/>
      <c r="G674" s="549"/>
    </row>
    <row r="675" spans="1:7">
      <c r="A675" s="549"/>
      <c r="B675" s="549"/>
      <c r="C675" s="549"/>
      <c r="D675" s="549"/>
      <c r="E675" s="549"/>
      <c r="F675" s="549"/>
      <c r="G675" s="549"/>
    </row>
    <row r="676" spans="1:7">
      <c r="A676" s="549"/>
      <c r="B676" s="549"/>
      <c r="C676" s="549"/>
      <c r="D676" s="549"/>
      <c r="E676" s="549"/>
      <c r="F676" s="549"/>
      <c r="G676" s="549"/>
    </row>
    <row r="677" spans="1:7">
      <c r="A677" s="549"/>
      <c r="B677" s="549"/>
      <c r="C677" s="549"/>
      <c r="D677" s="549"/>
      <c r="E677" s="549"/>
      <c r="F677" s="549"/>
      <c r="G677" s="549"/>
    </row>
    <row r="678" spans="1:7">
      <c r="A678" s="549"/>
      <c r="B678" s="549"/>
      <c r="C678" s="549"/>
      <c r="D678" s="549"/>
      <c r="E678" s="549"/>
      <c r="F678" s="549"/>
      <c r="G678" s="549"/>
    </row>
    <row r="679" spans="1:7">
      <c r="A679" s="549"/>
      <c r="B679" s="549"/>
      <c r="C679" s="549"/>
      <c r="D679" s="549"/>
      <c r="E679" s="549"/>
      <c r="F679" s="549"/>
      <c r="G679" s="549"/>
    </row>
    <row r="680" spans="1:7">
      <c r="A680" s="549"/>
      <c r="B680" s="549"/>
      <c r="C680" s="549"/>
      <c r="D680" s="549"/>
      <c r="E680" s="549"/>
      <c r="F680" s="549"/>
      <c r="G680" s="549"/>
    </row>
    <row r="681" spans="1:7">
      <c r="A681" s="549"/>
      <c r="B681" s="549"/>
      <c r="C681" s="549"/>
      <c r="D681" s="549"/>
      <c r="E681" s="549"/>
      <c r="F681" s="549"/>
      <c r="G681" s="549"/>
    </row>
    <row r="682" spans="1:7">
      <c r="A682" s="549"/>
      <c r="B682" s="549"/>
      <c r="C682" s="549"/>
      <c r="D682" s="549"/>
      <c r="E682" s="549"/>
      <c r="F682" s="549"/>
      <c r="G682" s="549"/>
    </row>
    <row r="683" spans="1:7">
      <c r="A683" s="549"/>
      <c r="B683" s="549"/>
      <c r="C683" s="549"/>
      <c r="D683" s="549"/>
      <c r="E683" s="549"/>
      <c r="F683" s="549"/>
      <c r="G683" s="549"/>
    </row>
    <row r="684" spans="1:7">
      <c r="A684" s="549"/>
      <c r="B684" s="549"/>
      <c r="C684" s="549"/>
      <c r="D684" s="549"/>
      <c r="E684" s="549"/>
      <c r="F684" s="549"/>
      <c r="G684" s="549"/>
    </row>
    <row r="685" spans="1:7">
      <c r="A685" s="549"/>
      <c r="B685" s="549"/>
      <c r="C685" s="549"/>
      <c r="D685" s="549"/>
      <c r="E685" s="549"/>
      <c r="F685" s="549"/>
      <c r="G685" s="549"/>
    </row>
    <row r="686" spans="1:7">
      <c r="A686" s="549"/>
      <c r="B686" s="549"/>
      <c r="C686" s="549"/>
      <c r="D686" s="549"/>
      <c r="E686" s="549"/>
      <c r="F686" s="549"/>
      <c r="G686" s="549"/>
    </row>
    <row r="687" spans="1:7">
      <c r="A687" s="549"/>
      <c r="B687" s="549"/>
      <c r="C687" s="549"/>
      <c r="D687" s="549"/>
      <c r="E687" s="549"/>
      <c r="F687" s="549"/>
      <c r="G687" s="549"/>
    </row>
    <row r="688" spans="1:7">
      <c r="A688" s="549"/>
      <c r="B688" s="549"/>
      <c r="C688" s="549"/>
      <c r="D688" s="549"/>
      <c r="E688" s="549"/>
      <c r="F688" s="549"/>
      <c r="G688" s="549"/>
    </row>
    <row r="689" spans="1:7">
      <c r="A689" s="549"/>
      <c r="B689" s="549"/>
      <c r="C689" s="549"/>
      <c r="D689" s="549"/>
      <c r="E689" s="549"/>
      <c r="F689" s="549"/>
      <c r="G689" s="549"/>
    </row>
    <row r="690" spans="1:7">
      <c r="A690" s="549"/>
      <c r="B690" s="549"/>
      <c r="C690" s="549"/>
      <c r="D690" s="549"/>
      <c r="E690" s="549"/>
      <c r="F690" s="549"/>
      <c r="G690" s="549"/>
    </row>
    <row r="691" spans="1:7">
      <c r="A691" s="549"/>
      <c r="B691" s="549"/>
      <c r="C691" s="549"/>
      <c r="D691" s="549"/>
      <c r="E691" s="549"/>
      <c r="F691" s="549"/>
      <c r="G691" s="549"/>
    </row>
    <row r="692" spans="1:7">
      <c r="A692" s="549"/>
      <c r="B692" s="549"/>
      <c r="C692" s="549"/>
      <c r="D692" s="549"/>
      <c r="E692" s="549"/>
      <c r="F692" s="549"/>
      <c r="G692" s="549"/>
    </row>
    <row r="693" spans="1:7">
      <c r="A693" s="549"/>
      <c r="B693" s="549"/>
      <c r="C693" s="549"/>
      <c r="D693" s="549"/>
      <c r="E693" s="549"/>
      <c r="F693" s="549"/>
      <c r="G693" s="549"/>
    </row>
    <row r="694" spans="1:7">
      <c r="A694" s="549"/>
      <c r="B694" s="549"/>
      <c r="C694" s="549"/>
      <c r="D694" s="549"/>
      <c r="E694" s="549"/>
      <c r="F694" s="549"/>
      <c r="G694" s="549"/>
    </row>
    <row r="695" spans="1:7">
      <c r="A695" s="549"/>
      <c r="B695" s="549"/>
      <c r="C695" s="549"/>
      <c r="D695" s="549"/>
      <c r="E695" s="549"/>
      <c r="F695" s="549"/>
      <c r="G695" s="549"/>
    </row>
    <row r="696" spans="1:7">
      <c r="A696" s="549"/>
      <c r="B696" s="549"/>
      <c r="C696" s="549"/>
      <c r="D696" s="549"/>
      <c r="E696" s="549"/>
      <c r="F696" s="549"/>
      <c r="G696" s="549"/>
    </row>
    <row r="697" spans="1:7">
      <c r="A697" s="549"/>
      <c r="B697" s="549"/>
      <c r="C697" s="549"/>
      <c r="D697" s="549"/>
      <c r="E697" s="549"/>
      <c r="F697" s="549"/>
      <c r="G697" s="549"/>
    </row>
    <row r="698" spans="1:7">
      <c r="A698" s="549"/>
      <c r="B698" s="549"/>
      <c r="C698" s="549"/>
      <c r="D698" s="549"/>
      <c r="E698" s="549"/>
      <c r="F698" s="549"/>
      <c r="G698" s="549"/>
    </row>
    <row r="699" spans="1:7">
      <c r="A699" s="549"/>
      <c r="B699" s="549"/>
      <c r="C699" s="549"/>
      <c r="D699" s="549"/>
      <c r="E699" s="549"/>
      <c r="F699" s="549"/>
      <c r="G699" s="549"/>
    </row>
    <row r="700" spans="1:7">
      <c r="A700" s="549"/>
      <c r="B700" s="549"/>
      <c r="C700" s="549"/>
      <c r="D700" s="549"/>
      <c r="E700" s="549"/>
      <c r="F700" s="549"/>
      <c r="G700" s="549"/>
    </row>
    <row r="701" spans="1:7">
      <c r="A701" s="549"/>
      <c r="B701" s="549"/>
      <c r="C701" s="549"/>
      <c r="D701" s="549"/>
      <c r="E701" s="549"/>
      <c r="F701" s="549"/>
      <c r="G701" s="549"/>
    </row>
    <row r="702" spans="1:7">
      <c r="A702" s="549"/>
      <c r="B702" s="549"/>
      <c r="C702" s="549"/>
      <c r="D702" s="549"/>
      <c r="E702" s="549"/>
      <c r="F702" s="549"/>
      <c r="G702" s="549"/>
    </row>
    <row r="703" spans="1:7">
      <c r="A703" s="549"/>
      <c r="B703" s="549"/>
      <c r="C703" s="549"/>
      <c r="D703" s="549"/>
      <c r="E703" s="549"/>
      <c r="F703" s="549"/>
      <c r="G703" s="549"/>
    </row>
    <row r="704" spans="1:7">
      <c r="A704" s="549"/>
      <c r="B704" s="549"/>
      <c r="C704" s="549"/>
      <c r="D704" s="549"/>
      <c r="E704" s="549"/>
      <c r="F704" s="549"/>
      <c r="G704" s="549"/>
    </row>
    <row r="705" spans="1:7">
      <c r="A705" s="549"/>
      <c r="B705" s="549"/>
      <c r="C705" s="549"/>
      <c r="D705" s="549"/>
      <c r="E705" s="549"/>
      <c r="F705" s="549"/>
      <c r="G705" s="549"/>
    </row>
    <row r="706" spans="1:7">
      <c r="A706" s="549"/>
      <c r="B706" s="549"/>
      <c r="C706" s="549"/>
      <c r="D706" s="549"/>
      <c r="E706" s="549"/>
      <c r="F706" s="549"/>
      <c r="G706" s="549"/>
    </row>
    <row r="707" spans="1:7">
      <c r="A707" s="549"/>
      <c r="B707" s="549"/>
      <c r="C707" s="549"/>
      <c r="D707" s="549"/>
      <c r="E707" s="549"/>
      <c r="F707" s="549"/>
      <c r="G707" s="549"/>
    </row>
    <row r="708" spans="1:7">
      <c r="A708" s="549"/>
      <c r="B708" s="549"/>
      <c r="C708" s="549"/>
      <c r="D708" s="549"/>
      <c r="E708" s="549"/>
      <c r="F708" s="549"/>
      <c r="G708" s="549"/>
    </row>
    <row r="709" spans="1:7">
      <c r="A709" s="549"/>
      <c r="B709" s="549"/>
      <c r="C709" s="549"/>
      <c r="D709" s="549"/>
      <c r="E709" s="549"/>
      <c r="F709" s="549"/>
      <c r="G709" s="549"/>
    </row>
    <row r="710" spans="1:7">
      <c r="A710" s="549"/>
      <c r="B710" s="549"/>
      <c r="C710" s="549"/>
      <c r="D710" s="549"/>
      <c r="E710" s="549"/>
      <c r="F710" s="549"/>
      <c r="G710" s="549"/>
    </row>
    <row r="711" spans="1:7">
      <c r="A711" s="549"/>
      <c r="B711" s="549"/>
      <c r="C711" s="549"/>
      <c r="D711" s="549"/>
      <c r="E711" s="549"/>
      <c r="F711" s="549"/>
      <c r="G711" s="549"/>
    </row>
    <row r="712" spans="1:7">
      <c r="A712" s="549"/>
      <c r="B712" s="549"/>
      <c r="C712" s="549"/>
      <c r="D712" s="549"/>
      <c r="E712" s="549"/>
      <c r="F712" s="549"/>
      <c r="G712" s="549"/>
    </row>
    <row r="713" spans="1:7">
      <c r="A713" s="549"/>
      <c r="B713" s="549"/>
      <c r="C713" s="549"/>
      <c r="D713" s="549"/>
      <c r="E713" s="549"/>
      <c r="F713" s="549"/>
      <c r="G713" s="549"/>
    </row>
    <row r="714" spans="1:7">
      <c r="A714" s="549"/>
      <c r="B714" s="549"/>
      <c r="C714" s="549"/>
      <c r="D714" s="549"/>
      <c r="E714" s="549"/>
      <c r="F714" s="549"/>
      <c r="G714" s="549"/>
    </row>
    <row r="715" spans="1:7">
      <c r="A715" s="549"/>
      <c r="B715" s="549"/>
      <c r="C715" s="549"/>
      <c r="D715" s="549"/>
      <c r="E715" s="549"/>
      <c r="F715" s="549"/>
      <c r="G715" s="549"/>
    </row>
    <row r="716" spans="1:7">
      <c r="A716" s="549"/>
      <c r="B716" s="549"/>
      <c r="C716" s="549"/>
      <c r="D716" s="549"/>
      <c r="E716" s="549"/>
      <c r="F716" s="549"/>
      <c r="G716" s="549"/>
    </row>
    <row r="717" spans="1:7">
      <c r="A717" s="549"/>
      <c r="B717" s="549"/>
      <c r="C717" s="549"/>
      <c r="D717" s="549"/>
      <c r="E717" s="549"/>
      <c r="F717" s="549"/>
      <c r="G717" s="549"/>
    </row>
    <row r="718" spans="1:7">
      <c r="A718" s="549"/>
      <c r="B718" s="549"/>
      <c r="C718" s="549"/>
      <c r="D718" s="549"/>
      <c r="E718" s="549"/>
      <c r="F718" s="549"/>
      <c r="G718" s="549"/>
    </row>
    <row r="719" spans="1:7">
      <c r="A719" s="549"/>
      <c r="B719" s="549"/>
      <c r="C719" s="549"/>
      <c r="D719" s="549"/>
      <c r="E719" s="549"/>
      <c r="F719" s="549"/>
      <c r="G719" s="549"/>
    </row>
    <row r="720" spans="1:7">
      <c r="A720" s="549"/>
      <c r="B720" s="549"/>
      <c r="C720" s="549"/>
      <c r="D720" s="549"/>
      <c r="E720" s="549"/>
      <c r="F720" s="549"/>
      <c r="G720" s="549"/>
    </row>
    <row r="721" spans="1:7">
      <c r="A721" s="549"/>
      <c r="B721" s="549"/>
      <c r="C721" s="549"/>
      <c r="D721" s="549"/>
      <c r="E721" s="549"/>
      <c r="F721" s="549"/>
      <c r="G721" s="549"/>
    </row>
    <row r="722" spans="1:7">
      <c r="A722" s="549"/>
      <c r="B722" s="549"/>
      <c r="C722" s="549"/>
      <c r="D722" s="549"/>
      <c r="E722" s="549"/>
      <c r="F722" s="549"/>
      <c r="G722" s="549"/>
    </row>
    <row r="723" spans="1:7">
      <c r="A723" s="549"/>
      <c r="B723" s="549"/>
      <c r="C723" s="549"/>
      <c r="D723" s="549"/>
      <c r="E723" s="549"/>
      <c r="F723" s="549"/>
      <c r="G723" s="549"/>
    </row>
    <row r="724" spans="1:7">
      <c r="A724" s="549"/>
      <c r="B724" s="549"/>
      <c r="C724" s="549"/>
      <c r="D724" s="549"/>
      <c r="E724" s="549"/>
      <c r="F724" s="549"/>
      <c r="G724" s="549"/>
    </row>
    <row r="725" spans="1:7">
      <c r="A725" s="549"/>
      <c r="B725" s="549"/>
      <c r="C725" s="549"/>
      <c r="D725" s="549"/>
      <c r="E725" s="549"/>
      <c r="F725" s="549"/>
      <c r="G725" s="549"/>
    </row>
    <row r="726" spans="1:7">
      <c r="A726" s="549"/>
      <c r="B726" s="549"/>
      <c r="C726" s="549"/>
      <c r="D726" s="549"/>
      <c r="E726" s="549"/>
      <c r="F726" s="549"/>
      <c r="G726" s="549"/>
    </row>
    <row r="727" spans="1:7">
      <c r="A727" s="549"/>
      <c r="B727" s="549"/>
      <c r="C727" s="549"/>
      <c r="D727" s="549"/>
      <c r="E727" s="549"/>
      <c r="F727" s="549"/>
      <c r="G727" s="549"/>
    </row>
    <row r="728" spans="1:7">
      <c r="A728" s="549"/>
      <c r="B728" s="549"/>
      <c r="C728" s="549"/>
      <c r="D728" s="549"/>
      <c r="E728" s="549"/>
      <c r="F728" s="549"/>
      <c r="G728" s="549"/>
    </row>
    <row r="729" spans="1:7">
      <c r="A729" s="549"/>
      <c r="B729" s="549"/>
      <c r="C729" s="549"/>
      <c r="D729" s="549"/>
      <c r="E729" s="549"/>
      <c r="F729" s="549"/>
      <c r="G729" s="549"/>
    </row>
    <row r="730" spans="1:7">
      <c r="A730" s="549"/>
      <c r="B730" s="549"/>
      <c r="C730" s="549"/>
      <c r="D730" s="549"/>
      <c r="E730" s="549"/>
      <c r="F730" s="549"/>
      <c r="G730" s="549"/>
    </row>
    <row r="731" spans="1:7">
      <c r="A731" s="549"/>
      <c r="B731" s="549"/>
      <c r="C731" s="549"/>
      <c r="D731" s="549"/>
      <c r="E731" s="549"/>
      <c r="F731" s="549"/>
      <c r="G731" s="549"/>
    </row>
    <row r="732" spans="1:7">
      <c r="A732" s="549"/>
      <c r="B732" s="549"/>
      <c r="C732" s="549"/>
      <c r="D732" s="549"/>
      <c r="E732" s="549"/>
      <c r="F732" s="549"/>
      <c r="G732" s="549"/>
    </row>
    <row r="733" spans="1:7">
      <c r="A733" s="549"/>
      <c r="B733" s="549"/>
      <c r="C733" s="549"/>
      <c r="D733" s="549"/>
      <c r="E733" s="549"/>
      <c r="F733" s="549"/>
      <c r="G733" s="549"/>
    </row>
    <row r="734" spans="1:7">
      <c r="A734" s="549"/>
      <c r="B734" s="549"/>
      <c r="C734" s="549"/>
      <c r="D734" s="549"/>
      <c r="E734" s="549"/>
      <c r="F734" s="549"/>
      <c r="G734" s="549"/>
    </row>
    <row r="735" spans="1:7">
      <c r="A735" s="549"/>
      <c r="B735" s="549"/>
      <c r="C735" s="549"/>
      <c r="D735" s="549"/>
      <c r="E735" s="549"/>
      <c r="F735" s="549"/>
      <c r="G735" s="549"/>
    </row>
    <row r="736" spans="1:7">
      <c r="A736" s="549"/>
      <c r="B736" s="549"/>
      <c r="C736" s="549"/>
      <c r="D736" s="549"/>
      <c r="E736" s="549"/>
      <c r="F736" s="549"/>
      <c r="G736" s="549"/>
    </row>
    <row r="737" spans="1:7">
      <c r="A737" s="549"/>
      <c r="B737" s="549"/>
      <c r="C737" s="549"/>
      <c r="D737" s="549"/>
      <c r="E737" s="549"/>
      <c r="F737" s="549"/>
      <c r="G737" s="549"/>
    </row>
    <row r="738" spans="1:7">
      <c r="A738" s="549"/>
      <c r="B738" s="549"/>
      <c r="C738" s="549"/>
      <c r="D738" s="549"/>
      <c r="E738" s="549"/>
      <c r="F738" s="549"/>
      <c r="G738" s="549"/>
    </row>
    <row r="739" spans="1:7">
      <c r="A739" s="549"/>
      <c r="B739" s="549"/>
      <c r="C739" s="549"/>
      <c r="D739" s="549"/>
      <c r="E739" s="549"/>
      <c r="F739" s="549"/>
      <c r="G739" s="549"/>
    </row>
    <row r="740" spans="1:7">
      <c r="A740" s="549"/>
      <c r="B740" s="549"/>
      <c r="C740" s="549"/>
      <c r="D740" s="549"/>
      <c r="E740" s="549"/>
      <c r="F740" s="549"/>
      <c r="G740" s="549"/>
    </row>
    <row r="741" spans="1:7">
      <c r="A741" s="549"/>
      <c r="B741" s="549"/>
      <c r="C741" s="549"/>
      <c r="D741" s="549"/>
      <c r="E741" s="549"/>
      <c r="F741" s="549"/>
      <c r="G741" s="549"/>
    </row>
    <row r="742" spans="1:7">
      <c r="A742" s="549"/>
      <c r="B742" s="549"/>
      <c r="C742" s="549"/>
      <c r="D742" s="549"/>
      <c r="E742" s="549"/>
      <c r="F742" s="549"/>
      <c r="G742" s="549"/>
    </row>
    <row r="743" spans="1:7">
      <c r="A743" s="549"/>
      <c r="B743" s="549"/>
      <c r="C743" s="549"/>
      <c r="D743" s="549"/>
      <c r="E743" s="549"/>
      <c r="F743" s="549"/>
      <c r="G743" s="549"/>
    </row>
    <row r="744" spans="1:7">
      <c r="A744" s="549"/>
      <c r="B744" s="549"/>
      <c r="C744" s="549"/>
      <c r="D744" s="549"/>
      <c r="E744" s="549"/>
      <c r="F744" s="549"/>
      <c r="G744" s="549"/>
    </row>
    <row r="745" spans="1:7">
      <c r="A745" s="549"/>
      <c r="B745" s="549"/>
      <c r="C745" s="549"/>
      <c r="D745" s="549"/>
      <c r="E745" s="549"/>
      <c r="F745" s="549"/>
      <c r="G745" s="549"/>
    </row>
    <row r="746" spans="1:7">
      <c r="A746" s="549"/>
      <c r="B746" s="549"/>
      <c r="C746" s="549"/>
      <c r="D746" s="549"/>
      <c r="E746" s="549"/>
      <c r="F746" s="549"/>
      <c r="G746" s="549"/>
    </row>
    <row r="747" spans="1:7">
      <c r="A747" s="549"/>
      <c r="B747" s="549"/>
      <c r="C747" s="549"/>
      <c r="D747" s="549"/>
      <c r="E747" s="549"/>
      <c r="F747" s="549"/>
      <c r="G747" s="549"/>
    </row>
    <row r="748" spans="1:7">
      <c r="A748" s="549"/>
      <c r="B748" s="549"/>
      <c r="C748" s="549"/>
      <c r="D748" s="549"/>
      <c r="E748" s="549"/>
      <c r="F748" s="549"/>
      <c r="G748" s="549"/>
    </row>
    <row r="749" spans="1:7">
      <c r="A749" s="549"/>
      <c r="B749" s="549"/>
      <c r="C749" s="549"/>
      <c r="D749" s="549"/>
      <c r="E749" s="549"/>
      <c r="F749" s="549"/>
      <c r="G749" s="549"/>
    </row>
    <row r="750" spans="1:7">
      <c r="A750" s="549"/>
      <c r="B750" s="549"/>
      <c r="C750" s="549"/>
      <c r="D750" s="549"/>
      <c r="E750" s="549"/>
      <c r="F750" s="549"/>
      <c r="G750" s="549"/>
    </row>
    <row r="751" spans="1:7">
      <c r="A751" s="549"/>
      <c r="B751" s="549"/>
      <c r="C751" s="549"/>
      <c r="D751" s="549"/>
      <c r="E751" s="549"/>
      <c r="F751" s="549"/>
      <c r="G751" s="549"/>
    </row>
    <row r="752" spans="1:7">
      <c r="A752" s="549"/>
      <c r="B752" s="549"/>
      <c r="C752" s="549"/>
      <c r="D752" s="549"/>
      <c r="E752" s="549"/>
      <c r="F752" s="549"/>
      <c r="G752" s="549"/>
    </row>
    <row r="753" spans="1:7">
      <c r="A753" s="549"/>
      <c r="B753" s="549"/>
      <c r="C753" s="549"/>
      <c r="D753" s="549"/>
      <c r="E753" s="549"/>
      <c r="F753" s="549"/>
      <c r="G753" s="549"/>
    </row>
    <row r="754" spans="1:7">
      <c r="A754" s="549"/>
      <c r="B754" s="549"/>
      <c r="C754" s="549"/>
      <c r="D754" s="549"/>
      <c r="E754" s="549"/>
      <c r="F754" s="549"/>
      <c r="G754" s="549"/>
    </row>
    <row r="755" spans="1:7">
      <c r="A755" s="549"/>
      <c r="B755" s="549"/>
      <c r="C755" s="549"/>
      <c r="D755" s="549"/>
      <c r="E755" s="549"/>
      <c r="F755" s="549"/>
      <c r="G755" s="549"/>
    </row>
    <row r="756" spans="1:7">
      <c r="A756" s="549"/>
      <c r="B756" s="549"/>
      <c r="C756" s="549"/>
      <c r="D756" s="549"/>
      <c r="E756" s="549"/>
      <c r="F756" s="549"/>
      <c r="G756" s="549"/>
    </row>
    <row r="757" spans="1:7">
      <c r="A757" s="549"/>
      <c r="B757" s="549"/>
      <c r="C757" s="549"/>
      <c r="D757" s="549"/>
      <c r="E757" s="549"/>
      <c r="F757" s="549"/>
      <c r="G757" s="549"/>
    </row>
    <row r="758" spans="1:7">
      <c r="A758" s="549"/>
      <c r="B758" s="549"/>
      <c r="C758" s="549"/>
      <c r="D758" s="549"/>
      <c r="E758" s="549"/>
      <c r="F758" s="549"/>
      <c r="G758" s="549"/>
    </row>
    <row r="759" spans="1:7">
      <c r="A759" s="549"/>
      <c r="B759" s="549"/>
      <c r="C759" s="549"/>
      <c r="D759" s="549"/>
      <c r="E759" s="549"/>
      <c r="F759" s="549"/>
      <c r="G759" s="549"/>
    </row>
    <row r="760" spans="1:7">
      <c r="A760" s="549"/>
      <c r="B760" s="549"/>
      <c r="C760" s="549"/>
      <c r="D760" s="549"/>
      <c r="E760" s="549"/>
      <c r="F760" s="549"/>
      <c r="G760" s="549"/>
    </row>
    <row r="761" spans="1:7">
      <c r="A761" s="549"/>
      <c r="B761" s="549"/>
      <c r="C761" s="549"/>
      <c r="D761" s="549"/>
      <c r="E761" s="549"/>
      <c r="F761" s="549"/>
      <c r="G761" s="549"/>
    </row>
    <row r="762" spans="1:7">
      <c r="A762" s="549"/>
      <c r="B762" s="549"/>
      <c r="C762" s="549"/>
      <c r="D762" s="549"/>
      <c r="E762" s="549"/>
      <c r="F762" s="549"/>
      <c r="G762" s="549"/>
    </row>
    <row r="763" spans="1:7">
      <c r="A763" s="549"/>
      <c r="B763" s="549"/>
      <c r="C763" s="549"/>
      <c r="D763" s="549"/>
      <c r="E763" s="549"/>
      <c r="F763" s="549"/>
      <c r="G763" s="549"/>
    </row>
    <row r="764" spans="1:7">
      <c r="A764" s="549"/>
      <c r="B764" s="549"/>
      <c r="C764" s="549"/>
      <c r="D764" s="549"/>
      <c r="E764" s="549"/>
      <c r="F764" s="549"/>
      <c r="G764" s="549"/>
    </row>
    <row r="765" spans="1:7">
      <c r="A765" s="549"/>
      <c r="B765" s="549"/>
      <c r="C765" s="549"/>
      <c r="D765" s="549"/>
      <c r="E765" s="549"/>
      <c r="F765" s="549"/>
      <c r="G765" s="549"/>
    </row>
    <row r="766" spans="1:7">
      <c r="A766" s="549"/>
      <c r="B766" s="549"/>
      <c r="C766" s="549"/>
      <c r="D766" s="549"/>
      <c r="E766" s="549"/>
      <c r="F766" s="549"/>
      <c r="G766" s="549"/>
    </row>
    <row r="767" spans="1:7">
      <c r="A767" s="549"/>
      <c r="B767" s="549"/>
      <c r="C767" s="549"/>
      <c r="D767" s="549"/>
      <c r="E767" s="549"/>
      <c r="F767" s="549"/>
      <c r="G767" s="549"/>
    </row>
    <row r="768" spans="1:7">
      <c r="A768" s="549"/>
      <c r="B768" s="549"/>
      <c r="C768" s="549"/>
      <c r="D768" s="549"/>
      <c r="E768" s="549"/>
      <c r="F768" s="549"/>
      <c r="G768" s="549"/>
    </row>
    <row r="769" spans="1:7">
      <c r="A769" s="549"/>
      <c r="B769" s="549"/>
      <c r="C769" s="549"/>
      <c r="D769" s="549"/>
      <c r="E769" s="549"/>
      <c r="F769" s="549"/>
      <c r="G769" s="549"/>
    </row>
    <row r="770" spans="1:7">
      <c r="A770" s="549"/>
      <c r="B770" s="549"/>
      <c r="C770" s="549"/>
      <c r="D770" s="549"/>
      <c r="E770" s="549"/>
      <c r="F770" s="549"/>
      <c r="G770" s="549"/>
    </row>
    <row r="771" spans="1:7">
      <c r="A771" s="549"/>
      <c r="B771" s="549"/>
      <c r="C771" s="549"/>
      <c r="D771" s="549"/>
      <c r="E771" s="549"/>
      <c r="F771" s="549"/>
      <c r="G771" s="549"/>
    </row>
    <row r="772" spans="1:7">
      <c r="A772" s="549"/>
      <c r="B772" s="549"/>
      <c r="C772" s="549"/>
      <c r="D772" s="549"/>
      <c r="E772" s="549"/>
      <c r="F772" s="549"/>
      <c r="G772" s="549"/>
    </row>
    <row r="773" spans="1:7">
      <c r="A773" s="549"/>
      <c r="B773" s="549"/>
      <c r="C773" s="549"/>
      <c r="D773" s="549"/>
      <c r="E773" s="549"/>
      <c r="F773" s="549"/>
      <c r="G773" s="549"/>
    </row>
    <row r="774" spans="1:7">
      <c r="A774" s="549"/>
      <c r="B774" s="549"/>
      <c r="C774" s="549"/>
      <c r="D774" s="549"/>
      <c r="E774" s="549"/>
      <c r="F774" s="549"/>
      <c r="G774" s="549"/>
    </row>
    <row r="775" spans="1:7">
      <c r="A775" s="549"/>
      <c r="B775" s="549"/>
      <c r="C775" s="549"/>
      <c r="D775" s="549"/>
      <c r="E775" s="549"/>
      <c r="F775" s="549"/>
      <c r="G775" s="549"/>
    </row>
    <row r="776" spans="1:7">
      <c r="A776" s="549"/>
      <c r="B776" s="549"/>
      <c r="C776" s="549"/>
      <c r="D776" s="549"/>
      <c r="E776" s="549"/>
      <c r="F776" s="549"/>
      <c r="G776" s="549"/>
    </row>
    <row r="777" spans="1:7">
      <c r="A777" s="549"/>
      <c r="B777" s="549"/>
      <c r="C777" s="549"/>
      <c r="D777" s="549"/>
      <c r="E777" s="549"/>
      <c r="F777" s="549"/>
      <c r="G777" s="549"/>
    </row>
    <row r="778" spans="1:7">
      <c r="A778" s="549"/>
      <c r="B778" s="549"/>
      <c r="C778" s="549"/>
      <c r="D778" s="549"/>
      <c r="E778" s="549"/>
      <c r="F778" s="549"/>
      <c r="G778" s="549"/>
    </row>
    <row r="779" spans="1:7">
      <c r="A779" s="549"/>
      <c r="B779" s="549"/>
      <c r="C779" s="549"/>
      <c r="D779" s="549"/>
      <c r="E779" s="549"/>
      <c r="F779" s="549"/>
      <c r="G779" s="549"/>
    </row>
    <row r="780" spans="1:7">
      <c r="A780" s="549"/>
      <c r="B780" s="549"/>
      <c r="C780" s="549"/>
      <c r="D780" s="549"/>
      <c r="E780" s="549"/>
      <c r="F780" s="549"/>
      <c r="G780" s="549"/>
    </row>
    <row r="781" spans="1:7">
      <c r="A781" s="549"/>
      <c r="B781" s="549"/>
      <c r="C781" s="549"/>
      <c r="D781" s="549"/>
      <c r="E781" s="549"/>
      <c r="F781" s="549"/>
      <c r="G781" s="549"/>
    </row>
    <row r="782" spans="1:7">
      <c r="A782" s="549"/>
      <c r="B782" s="549"/>
      <c r="C782" s="549"/>
      <c r="D782" s="549"/>
      <c r="E782" s="549"/>
      <c r="F782" s="549"/>
      <c r="G782" s="549"/>
    </row>
    <row r="783" spans="1:7">
      <c r="A783" s="549"/>
      <c r="B783" s="549"/>
      <c r="C783" s="549"/>
      <c r="D783" s="549"/>
      <c r="E783" s="549"/>
      <c r="F783" s="549"/>
      <c r="G783" s="549"/>
    </row>
    <row r="784" spans="1:7">
      <c r="A784" s="549"/>
      <c r="B784" s="549"/>
      <c r="C784" s="549"/>
      <c r="D784" s="549"/>
      <c r="E784" s="549"/>
      <c r="F784" s="549"/>
      <c r="G784" s="549"/>
    </row>
    <row r="785" spans="1:7">
      <c r="A785" s="549"/>
      <c r="B785" s="549"/>
      <c r="C785" s="549"/>
      <c r="D785" s="549"/>
      <c r="E785" s="549"/>
      <c r="F785" s="549"/>
      <c r="G785" s="549"/>
    </row>
    <row r="786" spans="1:7">
      <c r="A786" s="549"/>
      <c r="B786" s="549"/>
      <c r="C786" s="549"/>
      <c r="D786" s="549"/>
      <c r="E786" s="549"/>
      <c r="F786" s="549"/>
      <c r="G786" s="549"/>
    </row>
    <row r="787" spans="1:7">
      <c r="A787" s="549"/>
      <c r="B787" s="549"/>
      <c r="C787" s="549"/>
      <c r="D787" s="549"/>
      <c r="E787" s="549"/>
      <c r="F787" s="549"/>
      <c r="G787" s="549"/>
    </row>
    <row r="788" spans="1:7">
      <c r="A788" s="549"/>
      <c r="B788" s="549"/>
      <c r="C788" s="549"/>
      <c r="D788" s="549"/>
      <c r="E788" s="549"/>
      <c r="F788" s="549"/>
      <c r="G788" s="549"/>
    </row>
    <row r="789" spans="1:7">
      <c r="A789" s="549"/>
      <c r="B789" s="549"/>
      <c r="C789" s="549"/>
      <c r="D789" s="549"/>
      <c r="E789" s="549"/>
      <c r="F789" s="549"/>
      <c r="G789" s="549"/>
    </row>
    <row r="790" spans="1:7">
      <c r="A790" s="549"/>
      <c r="B790" s="549"/>
      <c r="C790" s="549"/>
      <c r="D790" s="549"/>
      <c r="E790" s="549"/>
      <c r="F790" s="549"/>
      <c r="G790" s="549"/>
    </row>
    <row r="791" spans="1:7">
      <c r="A791" s="549"/>
      <c r="B791" s="549"/>
      <c r="C791" s="549"/>
      <c r="D791" s="549"/>
      <c r="E791" s="549"/>
      <c r="F791" s="549"/>
      <c r="G791" s="549"/>
    </row>
    <row r="792" spans="1:7">
      <c r="A792" s="549"/>
      <c r="B792" s="549"/>
      <c r="C792" s="549"/>
      <c r="D792" s="549"/>
      <c r="E792" s="549"/>
      <c r="F792" s="549"/>
      <c r="G792" s="549"/>
    </row>
    <row r="793" spans="1:7">
      <c r="A793" s="549"/>
      <c r="B793" s="549"/>
      <c r="C793" s="549"/>
      <c r="D793" s="549"/>
      <c r="E793" s="549"/>
      <c r="F793" s="549"/>
      <c r="G793" s="549"/>
    </row>
    <row r="794" spans="1:7">
      <c r="A794" s="549"/>
      <c r="B794" s="549"/>
      <c r="C794" s="549"/>
      <c r="D794" s="549"/>
      <c r="E794" s="549"/>
      <c r="F794" s="549"/>
      <c r="G794" s="549"/>
    </row>
    <row r="795" spans="1:7">
      <c r="A795" s="549"/>
      <c r="B795" s="549"/>
      <c r="C795" s="549"/>
      <c r="D795" s="549"/>
      <c r="E795" s="549"/>
      <c r="F795" s="549"/>
      <c r="G795" s="549"/>
    </row>
    <row r="796" spans="1:7">
      <c r="A796" s="549"/>
      <c r="B796" s="549"/>
      <c r="C796" s="549"/>
      <c r="D796" s="549"/>
      <c r="E796" s="549"/>
      <c r="F796" s="549"/>
      <c r="G796" s="549"/>
    </row>
    <row r="797" spans="1:7">
      <c r="A797" s="549"/>
      <c r="B797" s="549"/>
      <c r="C797" s="549"/>
      <c r="D797" s="549"/>
      <c r="E797" s="549"/>
      <c r="F797" s="549"/>
      <c r="G797" s="549"/>
    </row>
    <row r="798" spans="1:7">
      <c r="A798" s="549"/>
      <c r="B798" s="549"/>
      <c r="C798" s="549"/>
      <c r="D798" s="549"/>
      <c r="E798" s="549"/>
      <c r="F798" s="549"/>
      <c r="G798" s="549"/>
    </row>
    <row r="799" spans="1:7">
      <c r="A799" s="549"/>
      <c r="B799" s="549"/>
      <c r="C799" s="549"/>
      <c r="D799" s="549"/>
      <c r="E799" s="549"/>
      <c r="F799" s="549"/>
      <c r="G799" s="549"/>
    </row>
    <row r="800" spans="1:7">
      <c r="A800" s="549"/>
      <c r="B800" s="549"/>
      <c r="C800" s="549"/>
      <c r="D800" s="549"/>
      <c r="E800" s="549"/>
      <c r="F800" s="549"/>
      <c r="G800" s="549"/>
    </row>
    <row r="801" spans="1:7">
      <c r="A801" s="549"/>
      <c r="B801" s="549"/>
      <c r="C801" s="549"/>
      <c r="D801" s="549"/>
      <c r="E801" s="549"/>
      <c r="F801" s="549"/>
      <c r="G801" s="549"/>
    </row>
    <row r="802" spans="1:7">
      <c r="A802" s="549"/>
      <c r="B802" s="549"/>
      <c r="C802" s="549"/>
      <c r="D802" s="549"/>
      <c r="E802" s="549"/>
      <c r="F802" s="549"/>
      <c r="G802" s="549"/>
    </row>
    <row r="803" spans="1:7">
      <c r="A803" s="549"/>
      <c r="B803" s="549"/>
      <c r="C803" s="549"/>
      <c r="D803" s="549"/>
      <c r="E803" s="549"/>
      <c r="F803" s="549"/>
      <c r="G803" s="549"/>
    </row>
    <row r="804" spans="1:7">
      <c r="A804" s="549"/>
      <c r="B804" s="549"/>
      <c r="C804" s="549"/>
      <c r="D804" s="549"/>
      <c r="E804" s="549"/>
      <c r="F804" s="549"/>
      <c r="G804" s="549"/>
    </row>
    <row r="805" spans="1:7">
      <c r="A805" s="549"/>
      <c r="B805" s="549"/>
      <c r="C805" s="549"/>
      <c r="D805" s="549"/>
      <c r="E805" s="549"/>
      <c r="F805" s="549"/>
      <c r="G805" s="549"/>
    </row>
    <row r="806" spans="1:7">
      <c r="A806" s="549"/>
      <c r="B806" s="549"/>
      <c r="C806" s="549"/>
      <c r="D806" s="549"/>
      <c r="E806" s="549"/>
      <c r="F806" s="549"/>
      <c r="G806" s="549"/>
    </row>
    <row r="807" spans="1:7">
      <c r="A807" s="549"/>
      <c r="B807" s="549"/>
      <c r="C807" s="549"/>
      <c r="D807" s="549"/>
      <c r="E807" s="549"/>
      <c r="F807" s="549"/>
      <c r="G807" s="549"/>
    </row>
    <row r="808" spans="1:7">
      <c r="A808" s="549"/>
      <c r="B808" s="549"/>
      <c r="C808" s="549"/>
      <c r="D808" s="549"/>
      <c r="E808" s="549"/>
      <c r="F808" s="549"/>
      <c r="G808" s="549"/>
    </row>
    <row r="809" spans="1:7">
      <c r="A809" s="549"/>
      <c r="B809" s="549"/>
      <c r="C809" s="549"/>
      <c r="D809" s="549"/>
      <c r="E809" s="549"/>
      <c r="F809" s="549"/>
      <c r="G809" s="549"/>
    </row>
    <row r="810" spans="1:7">
      <c r="A810" s="549"/>
      <c r="B810" s="549"/>
      <c r="C810" s="549"/>
      <c r="D810" s="549"/>
      <c r="E810" s="549"/>
      <c r="F810" s="549"/>
      <c r="G810" s="549"/>
    </row>
    <row r="811" spans="1:7">
      <c r="A811" s="549"/>
      <c r="B811" s="549"/>
      <c r="C811" s="549"/>
      <c r="D811" s="549"/>
      <c r="E811" s="549"/>
      <c r="F811" s="549"/>
      <c r="G811" s="549"/>
    </row>
    <row r="812" spans="1:7">
      <c r="A812" s="549"/>
      <c r="B812" s="549"/>
      <c r="C812" s="549"/>
      <c r="D812" s="549"/>
      <c r="E812" s="549"/>
      <c r="F812" s="549"/>
      <c r="G812" s="549"/>
    </row>
    <row r="813" spans="1:7">
      <c r="A813" s="549"/>
      <c r="B813" s="549"/>
      <c r="C813" s="549"/>
      <c r="D813" s="549"/>
      <c r="E813" s="549"/>
      <c r="F813" s="549"/>
      <c r="G813" s="549"/>
    </row>
    <row r="814" spans="1:7">
      <c r="A814" s="549"/>
      <c r="B814" s="549"/>
      <c r="C814" s="549"/>
      <c r="D814" s="549"/>
      <c r="E814" s="549"/>
      <c r="F814" s="549"/>
      <c r="G814" s="549"/>
    </row>
    <row r="815" spans="1:7">
      <c r="A815" s="549"/>
      <c r="B815" s="549"/>
      <c r="C815" s="549"/>
      <c r="D815" s="549"/>
      <c r="E815" s="549"/>
      <c r="F815" s="549"/>
      <c r="G815" s="549"/>
    </row>
    <row r="816" spans="1:7">
      <c r="A816" s="549"/>
      <c r="B816" s="549"/>
      <c r="C816" s="549"/>
      <c r="D816" s="549"/>
      <c r="E816" s="549"/>
      <c r="F816" s="549"/>
      <c r="G816" s="549"/>
    </row>
    <row r="817" spans="1:7">
      <c r="A817" s="549"/>
      <c r="B817" s="549"/>
      <c r="C817" s="549"/>
      <c r="D817" s="549"/>
      <c r="E817" s="549"/>
      <c r="F817" s="549"/>
      <c r="G817" s="549"/>
    </row>
    <row r="818" spans="1:7">
      <c r="A818" s="549"/>
      <c r="B818" s="549"/>
      <c r="C818" s="549"/>
      <c r="D818" s="549"/>
      <c r="E818" s="549"/>
      <c r="F818" s="549"/>
      <c r="G818" s="549"/>
    </row>
    <row r="819" spans="1:7">
      <c r="A819" s="549"/>
      <c r="B819" s="549"/>
      <c r="C819" s="549"/>
      <c r="D819" s="549"/>
      <c r="E819" s="549"/>
      <c r="F819" s="549"/>
      <c r="G819" s="549"/>
    </row>
    <row r="820" spans="1:7">
      <c r="A820" s="549"/>
      <c r="B820" s="549"/>
      <c r="C820" s="549"/>
      <c r="D820" s="549"/>
      <c r="E820" s="549"/>
      <c r="F820" s="549"/>
      <c r="G820" s="549"/>
    </row>
    <row r="821" spans="1:7">
      <c r="A821" s="549"/>
      <c r="B821" s="549"/>
      <c r="C821" s="549"/>
      <c r="D821" s="549"/>
      <c r="E821" s="549"/>
      <c r="F821" s="549"/>
      <c r="G821" s="549"/>
    </row>
    <row r="822" spans="1:7">
      <c r="A822" s="549"/>
      <c r="B822" s="549"/>
      <c r="C822" s="549"/>
      <c r="D822" s="549"/>
      <c r="E822" s="549"/>
      <c r="F822" s="549"/>
      <c r="G822" s="549"/>
    </row>
    <row r="823" spans="1:7">
      <c r="A823" s="549"/>
      <c r="B823" s="549"/>
      <c r="C823" s="549"/>
      <c r="D823" s="549"/>
      <c r="E823" s="549"/>
      <c r="F823" s="549"/>
      <c r="G823" s="549"/>
    </row>
    <row r="824" spans="1:7">
      <c r="A824" s="549"/>
      <c r="B824" s="549"/>
      <c r="C824" s="549"/>
      <c r="D824" s="549"/>
      <c r="E824" s="549"/>
      <c r="F824" s="549"/>
      <c r="G824" s="549"/>
    </row>
    <row r="825" spans="1:7">
      <c r="A825" s="549"/>
      <c r="B825" s="549"/>
      <c r="C825" s="549"/>
      <c r="D825" s="549"/>
      <c r="E825" s="549"/>
      <c r="F825" s="549"/>
      <c r="G825" s="549"/>
    </row>
    <row r="826" spans="1:7">
      <c r="A826" s="549"/>
      <c r="B826" s="549"/>
      <c r="C826" s="549"/>
      <c r="D826" s="549"/>
      <c r="E826" s="549"/>
      <c r="F826" s="549"/>
      <c r="G826" s="549"/>
    </row>
    <row r="827" spans="1:7">
      <c r="A827" s="549"/>
      <c r="B827" s="549"/>
      <c r="C827" s="549"/>
      <c r="D827" s="549"/>
      <c r="E827" s="549"/>
      <c r="F827" s="549"/>
      <c r="G827" s="549"/>
    </row>
    <row r="828" spans="1:7">
      <c r="A828" s="549"/>
      <c r="B828" s="549"/>
      <c r="C828" s="549"/>
      <c r="D828" s="549"/>
      <c r="E828" s="549"/>
      <c r="F828" s="549"/>
      <c r="G828" s="549"/>
    </row>
    <row r="829" spans="1:7">
      <c r="A829" s="549"/>
      <c r="B829" s="549"/>
      <c r="C829" s="549"/>
      <c r="D829" s="549"/>
      <c r="E829" s="549"/>
      <c r="F829" s="549"/>
      <c r="G829" s="549"/>
    </row>
    <row r="830" spans="1:7">
      <c r="A830" s="549"/>
      <c r="B830" s="549"/>
      <c r="C830" s="549"/>
      <c r="D830" s="549"/>
      <c r="E830" s="549"/>
      <c r="F830" s="549"/>
      <c r="G830" s="549"/>
    </row>
    <row r="831" spans="1:7">
      <c r="A831" s="549"/>
      <c r="B831" s="549"/>
      <c r="C831" s="549"/>
      <c r="D831" s="549"/>
      <c r="E831" s="549"/>
      <c r="F831" s="549"/>
      <c r="G831" s="549"/>
    </row>
    <row r="832" spans="1:7">
      <c r="A832" s="549"/>
      <c r="B832" s="549"/>
      <c r="C832" s="549"/>
      <c r="D832" s="549"/>
      <c r="E832" s="549"/>
      <c r="F832" s="549"/>
      <c r="G832" s="549"/>
    </row>
    <row r="833" spans="1:7">
      <c r="A833" s="549"/>
      <c r="B833" s="549"/>
      <c r="C833" s="549"/>
      <c r="D833" s="549"/>
      <c r="E833" s="549"/>
      <c r="F833" s="549"/>
      <c r="G833" s="549"/>
    </row>
    <row r="834" spans="1:7">
      <c r="A834" s="549"/>
      <c r="B834" s="549"/>
      <c r="C834" s="549"/>
      <c r="D834" s="549"/>
      <c r="E834" s="549"/>
      <c r="F834" s="549"/>
      <c r="G834" s="549"/>
    </row>
    <row r="835" spans="1:7">
      <c r="A835" s="549"/>
      <c r="B835" s="549"/>
      <c r="C835" s="549"/>
      <c r="D835" s="549"/>
      <c r="E835" s="549"/>
      <c r="F835" s="549"/>
      <c r="G835" s="549"/>
    </row>
    <row r="836" spans="1:7">
      <c r="A836" s="549"/>
      <c r="B836" s="549"/>
      <c r="C836" s="549"/>
      <c r="D836" s="549"/>
      <c r="E836" s="549"/>
      <c r="F836" s="549"/>
      <c r="G836" s="549"/>
    </row>
    <row r="837" spans="1:7">
      <c r="A837" s="549"/>
      <c r="B837" s="549"/>
      <c r="C837" s="549"/>
      <c r="D837" s="549"/>
      <c r="E837" s="549"/>
      <c r="F837" s="549"/>
      <c r="G837" s="549"/>
    </row>
    <row r="838" spans="1:7">
      <c r="A838" s="549"/>
      <c r="B838" s="549"/>
      <c r="C838" s="549"/>
      <c r="D838" s="549"/>
      <c r="E838" s="549"/>
      <c r="F838" s="549"/>
      <c r="G838" s="549"/>
    </row>
    <row r="839" spans="1:7">
      <c r="A839" s="549"/>
      <c r="B839" s="549"/>
      <c r="C839" s="549"/>
      <c r="D839" s="549"/>
      <c r="E839" s="549"/>
      <c r="F839" s="549"/>
      <c r="G839" s="549"/>
    </row>
    <row r="840" spans="1:7">
      <c r="A840" s="549"/>
      <c r="B840" s="549"/>
      <c r="C840" s="549"/>
      <c r="D840" s="549"/>
      <c r="E840" s="549"/>
      <c r="F840" s="549"/>
      <c r="G840" s="549"/>
    </row>
    <row r="841" spans="1:7">
      <c r="A841" s="549"/>
      <c r="B841" s="549"/>
      <c r="C841" s="549"/>
      <c r="D841" s="549"/>
      <c r="E841" s="549"/>
      <c r="F841" s="549"/>
      <c r="G841" s="549"/>
    </row>
    <row r="842" spans="1:7">
      <c r="A842" s="549"/>
      <c r="B842" s="549"/>
      <c r="C842" s="549"/>
      <c r="D842" s="549"/>
      <c r="E842" s="549"/>
      <c r="F842" s="549"/>
      <c r="G842" s="549"/>
    </row>
    <row r="843" spans="1:7">
      <c r="A843" s="549"/>
      <c r="B843" s="549"/>
      <c r="C843" s="549"/>
      <c r="D843" s="549"/>
      <c r="E843" s="549"/>
      <c r="F843" s="549"/>
      <c r="G843" s="549"/>
    </row>
    <row r="844" spans="1:7">
      <c r="A844" s="549"/>
      <c r="B844" s="549"/>
      <c r="C844" s="549"/>
      <c r="D844" s="549"/>
      <c r="E844" s="549"/>
      <c r="F844" s="549"/>
      <c r="G844" s="549"/>
    </row>
    <row r="845" spans="1:7">
      <c r="A845" s="549"/>
      <c r="B845" s="549"/>
      <c r="C845" s="549"/>
      <c r="D845" s="549"/>
      <c r="E845" s="549"/>
      <c r="F845" s="549"/>
      <c r="G845" s="549"/>
    </row>
    <row r="846" spans="1:7">
      <c r="A846" s="549"/>
      <c r="B846" s="549"/>
      <c r="C846" s="549"/>
      <c r="D846" s="549"/>
      <c r="E846" s="549"/>
      <c r="F846" s="549"/>
      <c r="G846" s="549"/>
    </row>
    <row r="847" spans="1:7">
      <c r="A847" s="549"/>
      <c r="B847" s="549"/>
      <c r="C847" s="549"/>
      <c r="D847" s="549"/>
      <c r="E847" s="549"/>
      <c r="F847" s="549"/>
      <c r="G847" s="549"/>
    </row>
    <row r="848" spans="1:7">
      <c r="A848" s="549"/>
      <c r="B848" s="549"/>
      <c r="C848" s="549"/>
      <c r="D848" s="549"/>
      <c r="E848" s="549"/>
      <c r="F848" s="549"/>
      <c r="G848" s="549"/>
    </row>
    <row r="849" spans="1:7">
      <c r="A849" s="549"/>
      <c r="B849" s="549"/>
      <c r="C849" s="549"/>
      <c r="D849" s="549"/>
      <c r="E849" s="549"/>
      <c r="F849" s="549"/>
      <c r="G849" s="549"/>
    </row>
    <row r="850" spans="1:7">
      <c r="A850" s="549"/>
      <c r="B850" s="549"/>
      <c r="C850" s="549"/>
      <c r="D850" s="549"/>
      <c r="E850" s="549"/>
      <c r="F850" s="549"/>
      <c r="G850" s="549"/>
    </row>
    <row r="851" spans="1:7">
      <c r="A851" s="549"/>
      <c r="B851" s="549"/>
      <c r="C851" s="549"/>
      <c r="D851" s="549"/>
      <c r="E851" s="549"/>
      <c r="F851" s="549"/>
      <c r="G851" s="549"/>
    </row>
    <row r="852" spans="1:7">
      <c r="A852" s="549"/>
      <c r="B852" s="549"/>
      <c r="C852" s="549"/>
      <c r="D852" s="549"/>
      <c r="E852" s="549"/>
      <c r="F852" s="549"/>
      <c r="G852" s="549"/>
    </row>
    <row r="853" spans="1:7">
      <c r="A853" s="549"/>
      <c r="B853" s="549"/>
      <c r="C853" s="549"/>
      <c r="D853" s="549"/>
      <c r="E853" s="549"/>
      <c r="F853" s="549"/>
      <c r="G853" s="549"/>
    </row>
    <row r="854" spans="1:7">
      <c r="A854" s="549"/>
      <c r="B854" s="549"/>
      <c r="C854" s="549"/>
      <c r="D854" s="549"/>
      <c r="E854" s="549"/>
      <c r="F854" s="549"/>
      <c r="G854" s="549"/>
    </row>
    <row r="855" spans="1:7">
      <c r="A855" s="549"/>
      <c r="B855" s="549"/>
      <c r="C855" s="549"/>
      <c r="D855" s="549"/>
      <c r="E855" s="549"/>
      <c r="F855" s="549"/>
      <c r="G855" s="549"/>
    </row>
    <row r="856" spans="1:7">
      <c r="A856" s="549"/>
      <c r="B856" s="549"/>
      <c r="C856" s="549"/>
      <c r="D856" s="549"/>
      <c r="E856" s="549"/>
      <c r="F856" s="549"/>
      <c r="G856" s="549"/>
    </row>
    <row r="857" spans="1:7">
      <c r="A857" s="549"/>
      <c r="B857" s="549"/>
      <c r="C857" s="549"/>
      <c r="D857" s="549"/>
      <c r="E857" s="549"/>
      <c r="F857" s="549"/>
      <c r="G857" s="549"/>
    </row>
    <row r="858" spans="1:7">
      <c r="A858" s="549"/>
      <c r="B858" s="549"/>
      <c r="C858" s="549"/>
      <c r="D858" s="549"/>
      <c r="E858" s="549"/>
      <c r="F858" s="549"/>
      <c r="G858" s="549"/>
    </row>
    <row r="859" spans="1:7">
      <c r="A859" s="549"/>
      <c r="B859" s="549"/>
      <c r="C859" s="549"/>
      <c r="D859" s="549"/>
      <c r="E859" s="549"/>
      <c r="F859" s="549"/>
      <c r="G859" s="549"/>
    </row>
    <row r="860" spans="1:7">
      <c r="A860" s="549"/>
      <c r="B860" s="549"/>
      <c r="C860" s="549"/>
      <c r="D860" s="549"/>
      <c r="E860" s="549"/>
      <c r="F860" s="549"/>
      <c r="G860" s="549"/>
    </row>
    <row r="861" spans="1:7">
      <c r="A861" s="549"/>
      <c r="B861" s="549"/>
      <c r="C861" s="549"/>
      <c r="D861" s="549"/>
      <c r="E861" s="549"/>
      <c r="F861" s="549"/>
      <c r="G861" s="549"/>
    </row>
    <row r="862" spans="1:7">
      <c r="A862" s="549"/>
      <c r="B862" s="549"/>
      <c r="C862" s="549"/>
      <c r="D862" s="549"/>
      <c r="E862" s="549"/>
      <c r="F862" s="549"/>
      <c r="G862" s="549"/>
    </row>
    <row r="863" spans="1:7">
      <c r="A863" s="549"/>
      <c r="B863" s="549"/>
      <c r="C863" s="549"/>
      <c r="D863" s="549"/>
      <c r="E863" s="549"/>
      <c r="F863" s="549"/>
      <c r="G863" s="549"/>
    </row>
    <row r="864" spans="1:7">
      <c r="A864" s="549"/>
      <c r="B864" s="549"/>
      <c r="C864" s="549"/>
      <c r="D864" s="549"/>
      <c r="E864" s="549"/>
      <c r="F864" s="549"/>
      <c r="G864" s="549"/>
    </row>
    <row r="865" spans="1:7">
      <c r="A865" s="549"/>
      <c r="B865" s="549"/>
      <c r="C865" s="549"/>
      <c r="D865" s="549"/>
      <c r="E865" s="549"/>
      <c r="F865" s="549"/>
      <c r="G865" s="549"/>
    </row>
    <row r="866" spans="1:7">
      <c r="A866" s="549"/>
      <c r="B866" s="549"/>
      <c r="C866" s="549"/>
      <c r="D866" s="549"/>
      <c r="E866" s="549"/>
      <c r="F866" s="549"/>
      <c r="G866" s="549"/>
    </row>
    <row r="867" spans="1:7">
      <c r="A867" s="549"/>
      <c r="B867" s="549"/>
      <c r="C867" s="549"/>
      <c r="D867" s="549"/>
      <c r="E867" s="549"/>
      <c r="F867" s="549"/>
      <c r="G867" s="549"/>
    </row>
    <row r="868" spans="1:7">
      <c r="A868" s="549"/>
      <c r="B868" s="549"/>
      <c r="C868" s="549"/>
      <c r="D868" s="549"/>
      <c r="E868" s="549"/>
      <c r="F868" s="549"/>
      <c r="G868" s="549"/>
    </row>
    <row r="869" spans="1:7">
      <c r="A869" s="549"/>
      <c r="B869" s="549"/>
      <c r="C869" s="549"/>
      <c r="D869" s="549"/>
      <c r="E869" s="549"/>
      <c r="F869" s="549"/>
      <c r="G869" s="549"/>
    </row>
    <row r="870" spans="1:7">
      <c r="A870" s="549"/>
      <c r="B870" s="549"/>
      <c r="C870" s="549"/>
      <c r="D870" s="549"/>
      <c r="E870" s="549"/>
      <c r="F870" s="549"/>
      <c r="G870" s="549"/>
    </row>
    <row r="871" spans="1:7">
      <c r="A871" s="549"/>
      <c r="B871" s="549"/>
      <c r="C871" s="549"/>
      <c r="D871" s="549"/>
      <c r="E871" s="549"/>
      <c r="F871" s="549"/>
      <c r="G871" s="549"/>
    </row>
    <row r="872" spans="1:7">
      <c r="A872" s="549"/>
      <c r="B872" s="549"/>
      <c r="C872" s="549"/>
      <c r="D872" s="549"/>
      <c r="E872" s="549"/>
      <c r="F872" s="549"/>
      <c r="G872" s="549"/>
    </row>
    <row r="873" spans="1:7">
      <c r="A873" s="549"/>
      <c r="B873" s="549"/>
      <c r="C873" s="549"/>
      <c r="D873" s="549"/>
      <c r="E873" s="549"/>
      <c r="F873" s="549"/>
      <c r="G873" s="549"/>
    </row>
    <row r="874" spans="1:7">
      <c r="A874" s="549"/>
      <c r="B874" s="549"/>
      <c r="C874" s="549"/>
      <c r="D874" s="549"/>
      <c r="E874" s="549"/>
      <c r="F874" s="549"/>
      <c r="G874" s="549"/>
    </row>
    <row r="875" spans="1:7">
      <c r="A875" s="549"/>
      <c r="B875" s="549"/>
      <c r="C875" s="549"/>
      <c r="D875" s="549"/>
      <c r="E875" s="549"/>
      <c r="F875" s="549"/>
      <c r="G875" s="549"/>
    </row>
    <row r="876" spans="1:7">
      <c r="A876" s="549"/>
      <c r="B876" s="549"/>
      <c r="C876" s="549"/>
      <c r="D876" s="549"/>
      <c r="E876" s="549"/>
      <c r="F876" s="549"/>
      <c r="G876" s="549"/>
    </row>
    <row r="877" spans="1:7">
      <c r="A877" s="549"/>
      <c r="B877" s="549"/>
      <c r="C877" s="549"/>
      <c r="D877" s="549"/>
      <c r="E877" s="549"/>
      <c r="F877" s="549"/>
      <c r="G877" s="549"/>
    </row>
    <row r="878" spans="1:7">
      <c r="A878" s="549"/>
      <c r="B878" s="549"/>
      <c r="C878" s="549"/>
      <c r="D878" s="549"/>
      <c r="E878" s="549"/>
      <c r="F878" s="549"/>
      <c r="G878" s="549"/>
    </row>
    <row r="879" spans="1:7">
      <c r="A879" s="549"/>
      <c r="B879" s="549"/>
      <c r="C879" s="549"/>
      <c r="D879" s="549"/>
      <c r="E879" s="549"/>
      <c r="F879" s="549"/>
      <c r="G879" s="549"/>
    </row>
    <row r="880" spans="1:7">
      <c r="A880" s="549"/>
      <c r="B880" s="549"/>
      <c r="C880" s="549"/>
      <c r="D880" s="549"/>
      <c r="E880" s="549"/>
      <c r="F880" s="549"/>
      <c r="G880" s="549"/>
    </row>
    <row r="881" spans="1:7">
      <c r="A881" s="549"/>
      <c r="B881" s="549"/>
      <c r="C881" s="549"/>
      <c r="D881" s="549"/>
      <c r="E881" s="549"/>
      <c r="F881" s="549"/>
      <c r="G881" s="549"/>
    </row>
    <row r="882" spans="1:7">
      <c r="A882" s="549"/>
      <c r="B882" s="549"/>
      <c r="C882" s="549"/>
      <c r="D882" s="549"/>
      <c r="E882" s="549"/>
      <c r="F882" s="549"/>
      <c r="G882" s="549"/>
    </row>
    <row r="883" spans="1:7">
      <c r="A883" s="549"/>
      <c r="B883" s="549"/>
      <c r="C883" s="549"/>
      <c r="D883" s="549"/>
      <c r="E883" s="549"/>
      <c r="F883" s="549"/>
      <c r="G883" s="549"/>
    </row>
    <row r="884" spans="1:7">
      <c r="A884" s="549"/>
      <c r="B884" s="549"/>
      <c r="C884" s="549"/>
      <c r="D884" s="549"/>
      <c r="E884" s="549"/>
      <c r="F884" s="549"/>
      <c r="G884" s="549"/>
    </row>
    <row r="885" spans="1:7">
      <c r="A885" s="549"/>
      <c r="B885" s="549"/>
      <c r="C885" s="549"/>
      <c r="D885" s="549"/>
      <c r="E885" s="549"/>
      <c r="F885" s="549"/>
      <c r="G885" s="549"/>
    </row>
    <row r="886" spans="1:7">
      <c r="A886" s="549"/>
      <c r="B886" s="549"/>
      <c r="C886" s="549"/>
      <c r="D886" s="549"/>
      <c r="E886" s="549"/>
      <c r="F886" s="549"/>
      <c r="G886" s="549"/>
    </row>
    <row r="887" spans="1:7">
      <c r="A887" s="549"/>
      <c r="B887" s="549"/>
      <c r="C887" s="549"/>
      <c r="D887" s="549"/>
      <c r="E887" s="549"/>
      <c r="F887" s="549"/>
      <c r="G887" s="549"/>
    </row>
    <row r="888" spans="1:7">
      <c r="A888" s="549"/>
      <c r="B888" s="549"/>
      <c r="C888" s="549"/>
      <c r="D888" s="549"/>
      <c r="E888" s="549"/>
      <c r="F888" s="549"/>
      <c r="G888" s="549"/>
    </row>
    <row r="889" spans="1:7">
      <c r="A889" s="549"/>
      <c r="B889" s="549"/>
      <c r="C889" s="549"/>
      <c r="D889" s="549"/>
      <c r="E889" s="549"/>
      <c r="F889" s="549"/>
      <c r="G889" s="549"/>
    </row>
    <row r="890" spans="1:7">
      <c r="A890" s="549"/>
      <c r="B890" s="549"/>
      <c r="C890" s="549"/>
      <c r="D890" s="549"/>
      <c r="E890" s="549"/>
      <c r="F890" s="549"/>
      <c r="G890" s="549"/>
    </row>
    <row r="891" spans="1:7">
      <c r="A891" s="549"/>
      <c r="B891" s="549"/>
      <c r="C891" s="549"/>
      <c r="D891" s="549"/>
      <c r="E891" s="549"/>
      <c r="F891" s="549"/>
      <c r="G891" s="549"/>
    </row>
    <row r="892" spans="1:7">
      <c r="A892" s="549"/>
      <c r="B892" s="549"/>
      <c r="C892" s="549"/>
      <c r="D892" s="549"/>
      <c r="E892" s="549"/>
      <c r="F892" s="549"/>
      <c r="G892" s="549"/>
    </row>
    <row r="893" spans="1:7">
      <c r="A893" s="549"/>
      <c r="B893" s="549"/>
      <c r="C893" s="549"/>
      <c r="D893" s="549"/>
      <c r="E893" s="549"/>
      <c r="F893" s="549"/>
      <c r="G893" s="549"/>
    </row>
    <row r="894" spans="1:7">
      <c r="A894" s="549"/>
      <c r="B894" s="549"/>
      <c r="C894" s="549"/>
      <c r="D894" s="549"/>
      <c r="E894" s="549"/>
      <c r="F894" s="549"/>
      <c r="G894" s="549"/>
    </row>
    <row r="895" spans="1:7">
      <c r="A895" s="549"/>
      <c r="B895" s="549"/>
      <c r="C895" s="549"/>
      <c r="D895" s="549"/>
      <c r="E895" s="549"/>
      <c r="F895" s="549"/>
      <c r="G895" s="549"/>
    </row>
    <row r="896" spans="1:7">
      <c r="A896" s="549"/>
      <c r="B896" s="549"/>
      <c r="C896" s="549"/>
      <c r="D896" s="549"/>
      <c r="E896" s="549"/>
      <c r="F896" s="549"/>
      <c r="G896" s="549"/>
    </row>
    <row r="897" spans="1:7">
      <c r="A897" s="549"/>
      <c r="B897" s="549"/>
      <c r="C897" s="549"/>
      <c r="D897" s="549"/>
      <c r="E897" s="549"/>
      <c r="F897" s="549"/>
      <c r="G897" s="549"/>
    </row>
    <row r="898" spans="1:7">
      <c r="A898" s="549"/>
      <c r="B898" s="549"/>
      <c r="C898" s="549"/>
      <c r="D898" s="549"/>
      <c r="E898" s="549"/>
      <c r="F898" s="549"/>
      <c r="G898" s="549"/>
    </row>
    <row r="899" spans="1:7">
      <c r="A899" s="549"/>
      <c r="B899" s="549"/>
      <c r="C899" s="549"/>
      <c r="D899" s="549"/>
      <c r="E899" s="549"/>
      <c r="F899" s="549"/>
      <c r="G899" s="549"/>
    </row>
    <row r="900" spans="1:7">
      <c r="A900" s="549"/>
      <c r="B900" s="549"/>
      <c r="C900" s="549"/>
      <c r="D900" s="549"/>
      <c r="E900" s="549"/>
      <c r="F900" s="549"/>
      <c r="G900" s="549"/>
    </row>
    <row r="901" spans="1:7">
      <c r="A901" s="549"/>
      <c r="B901" s="549"/>
      <c r="C901" s="549"/>
      <c r="D901" s="549"/>
      <c r="E901" s="549"/>
      <c r="F901" s="549"/>
      <c r="G901" s="549"/>
    </row>
    <row r="902" spans="1:7">
      <c r="A902" s="549"/>
      <c r="B902" s="549"/>
      <c r="C902" s="549"/>
      <c r="D902" s="549"/>
      <c r="E902" s="549"/>
      <c r="F902" s="549"/>
      <c r="G902" s="549"/>
    </row>
    <row r="903" spans="1:7">
      <c r="A903" s="549"/>
      <c r="B903" s="549"/>
      <c r="C903" s="549"/>
      <c r="D903" s="549"/>
      <c r="E903" s="549"/>
      <c r="F903" s="549"/>
      <c r="G903" s="549"/>
    </row>
    <row r="904" spans="1:7">
      <c r="A904" s="549"/>
      <c r="B904" s="549"/>
      <c r="C904" s="549"/>
      <c r="D904" s="549"/>
      <c r="E904" s="549"/>
      <c r="F904" s="549"/>
      <c r="G904" s="549"/>
    </row>
    <row r="905" spans="1:7">
      <c r="A905" s="549"/>
      <c r="B905" s="549"/>
      <c r="C905" s="549"/>
      <c r="D905" s="549"/>
      <c r="E905" s="549"/>
      <c r="F905" s="549"/>
      <c r="G905" s="549"/>
    </row>
    <row r="906" spans="1:7">
      <c r="A906" s="549"/>
      <c r="B906" s="549"/>
      <c r="C906" s="549"/>
      <c r="D906" s="549"/>
      <c r="E906" s="549"/>
      <c r="F906" s="549"/>
      <c r="G906" s="549"/>
    </row>
    <row r="907" spans="1:7">
      <c r="A907" s="549"/>
      <c r="B907" s="549"/>
      <c r="C907" s="549"/>
      <c r="D907" s="549"/>
      <c r="E907" s="549"/>
      <c r="F907" s="549"/>
      <c r="G907" s="549"/>
    </row>
    <row r="908" spans="1:7">
      <c r="A908" s="549"/>
      <c r="B908" s="549"/>
      <c r="C908" s="549"/>
      <c r="D908" s="549"/>
      <c r="E908" s="549"/>
      <c r="F908" s="549"/>
      <c r="G908" s="549"/>
    </row>
    <row r="909" spans="1:7">
      <c r="A909" s="549"/>
      <c r="B909" s="549"/>
      <c r="C909" s="549"/>
      <c r="D909" s="549"/>
      <c r="E909" s="549"/>
      <c r="F909" s="549"/>
      <c r="G909" s="549"/>
    </row>
    <row r="910" spans="1:7">
      <c r="A910" s="549"/>
      <c r="B910" s="549"/>
      <c r="C910" s="549"/>
      <c r="D910" s="549"/>
      <c r="E910" s="549"/>
      <c r="F910" s="549"/>
      <c r="G910" s="549"/>
    </row>
    <row r="911" spans="1:7">
      <c r="A911" s="549"/>
      <c r="B911" s="549"/>
      <c r="C911" s="549"/>
      <c r="D911" s="549"/>
      <c r="E911" s="549"/>
      <c r="F911" s="549"/>
      <c r="G911" s="549"/>
    </row>
    <row r="912" spans="1:7">
      <c r="A912" s="549"/>
      <c r="B912" s="549"/>
      <c r="C912" s="549"/>
      <c r="D912" s="549"/>
      <c r="E912" s="549"/>
      <c r="F912" s="549"/>
      <c r="G912" s="549"/>
    </row>
    <row r="913" spans="1:7">
      <c r="A913" s="549"/>
      <c r="B913" s="549"/>
      <c r="C913" s="549"/>
      <c r="D913" s="549"/>
      <c r="E913" s="549"/>
      <c r="F913" s="549"/>
      <c r="G913" s="549"/>
    </row>
    <row r="914" spans="1:7">
      <c r="A914" s="549"/>
      <c r="B914" s="549"/>
      <c r="C914" s="549"/>
      <c r="D914" s="549"/>
      <c r="E914" s="549"/>
      <c r="F914" s="549"/>
      <c r="G914" s="549"/>
    </row>
    <row r="915" spans="1:7">
      <c r="A915" s="549"/>
      <c r="B915" s="549"/>
      <c r="C915" s="549"/>
      <c r="D915" s="549"/>
      <c r="E915" s="549"/>
      <c r="F915" s="549"/>
      <c r="G915" s="549"/>
    </row>
    <row r="916" spans="1:7">
      <c r="A916" s="549"/>
      <c r="B916" s="549"/>
      <c r="C916" s="549"/>
      <c r="D916" s="549"/>
      <c r="E916" s="549"/>
      <c r="F916" s="549"/>
      <c r="G916" s="549"/>
    </row>
    <row r="917" spans="1:7">
      <c r="A917" s="549"/>
      <c r="B917" s="549"/>
      <c r="C917" s="549"/>
      <c r="D917" s="549"/>
      <c r="E917" s="549"/>
      <c r="F917" s="549"/>
      <c r="G917" s="549"/>
    </row>
    <row r="918" spans="1:7">
      <c r="A918" s="549"/>
      <c r="B918" s="549"/>
      <c r="C918" s="549"/>
      <c r="D918" s="549"/>
      <c r="E918" s="549"/>
      <c r="F918" s="549"/>
      <c r="G918" s="549"/>
    </row>
    <row r="919" spans="1:7">
      <c r="A919" s="549"/>
      <c r="B919" s="549"/>
      <c r="C919" s="549"/>
      <c r="D919" s="549"/>
      <c r="E919" s="549"/>
      <c r="F919" s="549"/>
      <c r="G919" s="549"/>
    </row>
    <row r="920" spans="1:7">
      <c r="A920" s="549"/>
      <c r="B920" s="549"/>
      <c r="C920" s="549"/>
      <c r="D920" s="549"/>
      <c r="E920" s="549"/>
      <c r="F920" s="549"/>
      <c r="G920" s="549"/>
    </row>
    <row r="921" spans="1:7">
      <c r="A921" s="549"/>
      <c r="B921" s="549"/>
      <c r="C921" s="549"/>
      <c r="D921" s="549"/>
      <c r="E921" s="549"/>
      <c r="F921" s="549"/>
      <c r="G921" s="549"/>
    </row>
    <row r="922" spans="1:7">
      <c r="A922" s="549"/>
      <c r="B922" s="549"/>
      <c r="C922" s="549"/>
      <c r="D922" s="549"/>
      <c r="E922" s="549"/>
      <c r="F922" s="549"/>
      <c r="G922" s="549"/>
    </row>
    <row r="923" spans="1:7">
      <c r="A923" s="549"/>
      <c r="B923" s="549"/>
      <c r="C923" s="549"/>
      <c r="D923" s="549"/>
      <c r="E923" s="549"/>
      <c r="F923" s="549"/>
      <c r="G923" s="549"/>
    </row>
    <row r="924" spans="1:7">
      <c r="A924" s="549"/>
      <c r="B924" s="549"/>
      <c r="C924" s="549"/>
      <c r="D924" s="549"/>
      <c r="E924" s="549"/>
      <c r="F924" s="549"/>
      <c r="G924" s="549"/>
    </row>
    <row r="925" spans="1:7">
      <c r="A925" s="549"/>
      <c r="B925" s="549"/>
      <c r="C925" s="549"/>
      <c r="D925" s="549"/>
      <c r="E925" s="549"/>
      <c r="F925" s="549"/>
      <c r="G925" s="549"/>
    </row>
    <row r="926" spans="1:7">
      <c r="A926" s="549"/>
      <c r="B926" s="549"/>
      <c r="C926" s="549"/>
      <c r="D926" s="549"/>
      <c r="E926" s="549"/>
      <c r="F926" s="549"/>
      <c r="G926" s="549"/>
    </row>
    <row r="927" spans="1:7">
      <c r="A927" s="549"/>
      <c r="B927" s="549"/>
      <c r="C927" s="549"/>
      <c r="D927" s="549"/>
      <c r="E927" s="549"/>
      <c r="F927" s="549"/>
      <c r="G927" s="549"/>
    </row>
    <row r="928" spans="1:7">
      <c r="A928" s="549"/>
      <c r="B928" s="549"/>
      <c r="C928" s="549"/>
      <c r="D928" s="549"/>
      <c r="E928" s="549"/>
      <c r="F928" s="549"/>
      <c r="G928" s="549"/>
    </row>
    <row r="929" spans="1:7">
      <c r="A929" s="549"/>
      <c r="B929" s="549"/>
      <c r="C929" s="549"/>
      <c r="D929" s="549"/>
      <c r="E929" s="549"/>
      <c r="F929" s="549"/>
      <c r="G929" s="549"/>
    </row>
    <row r="930" spans="1:7">
      <c r="A930" s="549"/>
      <c r="B930" s="549"/>
      <c r="C930" s="549"/>
      <c r="D930" s="549"/>
      <c r="E930" s="549"/>
      <c r="F930" s="549"/>
      <c r="G930" s="549"/>
    </row>
    <row r="931" spans="1:7">
      <c r="A931" s="549"/>
      <c r="B931" s="549"/>
      <c r="C931" s="549"/>
      <c r="D931" s="549"/>
      <c r="E931" s="549"/>
      <c r="F931" s="549"/>
      <c r="G931" s="549"/>
    </row>
    <row r="932" spans="1:7">
      <c r="A932" s="549"/>
      <c r="B932" s="549"/>
      <c r="C932" s="549"/>
      <c r="D932" s="549"/>
      <c r="E932" s="549"/>
      <c r="F932" s="549"/>
      <c r="G932" s="549"/>
    </row>
    <row r="933" spans="1:7">
      <c r="A933" s="549"/>
      <c r="B933" s="549"/>
      <c r="C933" s="549"/>
      <c r="D933" s="549"/>
      <c r="E933" s="549"/>
      <c r="F933" s="549"/>
      <c r="G933" s="549"/>
    </row>
    <row r="934" spans="1:7">
      <c r="A934" s="549"/>
      <c r="B934" s="549"/>
      <c r="C934" s="549"/>
      <c r="D934" s="549"/>
      <c r="E934" s="549"/>
      <c r="F934" s="549"/>
      <c r="G934" s="549"/>
    </row>
    <row r="935" spans="1:7">
      <c r="A935" s="549"/>
      <c r="B935" s="549"/>
      <c r="C935" s="549"/>
      <c r="D935" s="549"/>
      <c r="E935" s="549"/>
      <c r="F935" s="549"/>
      <c r="G935" s="549"/>
    </row>
    <row r="936" spans="1:7">
      <c r="A936" s="549"/>
      <c r="B936" s="549"/>
      <c r="C936" s="549"/>
      <c r="D936" s="549"/>
      <c r="E936" s="549"/>
      <c r="F936" s="549"/>
      <c r="G936" s="549"/>
    </row>
    <row r="937" spans="1:7">
      <c r="A937" s="549"/>
      <c r="B937" s="549"/>
      <c r="C937" s="549"/>
      <c r="D937" s="549"/>
      <c r="E937" s="549"/>
      <c r="F937" s="549"/>
      <c r="G937" s="549"/>
    </row>
    <row r="938" spans="1:7">
      <c r="A938" s="549"/>
      <c r="B938" s="549"/>
      <c r="C938" s="549"/>
      <c r="D938" s="549"/>
      <c r="E938" s="549"/>
      <c r="F938" s="549"/>
      <c r="G938" s="549"/>
    </row>
    <row r="939" spans="1:7">
      <c r="A939" s="549"/>
      <c r="B939" s="549"/>
      <c r="C939" s="549"/>
      <c r="D939" s="549"/>
      <c r="E939" s="549"/>
      <c r="F939" s="549"/>
      <c r="G939" s="549"/>
    </row>
    <row r="940" spans="1:7">
      <c r="A940" s="549"/>
      <c r="B940" s="549"/>
      <c r="C940" s="549"/>
      <c r="D940" s="549"/>
      <c r="E940" s="549"/>
      <c r="F940" s="549"/>
      <c r="G940" s="549"/>
    </row>
    <row r="941" spans="1:7">
      <c r="A941" s="549"/>
      <c r="B941" s="549"/>
      <c r="C941" s="549"/>
      <c r="D941" s="549"/>
      <c r="E941" s="549"/>
      <c r="F941" s="549"/>
      <c r="G941" s="549"/>
    </row>
    <row r="942" spans="1:7">
      <c r="A942" s="549"/>
      <c r="B942" s="549"/>
      <c r="C942" s="549"/>
      <c r="D942" s="549"/>
      <c r="E942" s="549"/>
      <c r="F942" s="549"/>
      <c r="G942" s="549"/>
    </row>
    <row r="943" spans="1:7">
      <c r="A943" s="549"/>
      <c r="B943" s="549"/>
      <c r="C943" s="549"/>
      <c r="D943" s="549"/>
      <c r="E943" s="549"/>
      <c r="F943" s="549"/>
      <c r="G943" s="549"/>
    </row>
    <row r="944" spans="1:7">
      <c r="A944" s="549"/>
      <c r="B944" s="549"/>
      <c r="C944" s="549"/>
      <c r="D944" s="549"/>
      <c r="E944" s="549"/>
      <c r="F944" s="549"/>
      <c r="G944" s="549"/>
    </row>
    <row r="945" spans="1:7">
      <c r="A945" s="549"/>
      <c r="B945" s="549"/>
      <c r="C945" s="549"/>
      <c r="D945" s="549"/>
      <c r="E945" s="549"/>
      <c r="F945" s="549"/>
      <c r="G945" s="549"/>
    </row>
    <row r="946" spans="1:7">
      <c r="A946" s="549"/>
      <c r="B946" s="549"/>
      <c r="C946" s="549"/>
      <c r="D946" s="549"/>
      <c r="E946" s="549"/>
      <c r="F946" s="549"/>
      <c r="G946" s="549"/>
    </row>
    <row r="947" spans="1:7">
      <c r="A947" s="549"/>
      <c r="B947" s="549"/>
      <c r="C947" s="549"/>
      <c r="D947" s="549"/>
      <c r="E947" s="549"/>
      <c r="F947" s="549"/>
      <c r="G947" s="549"/>
    </row>
    <row r="948" spans="1:7">
      <c r="A948" s="549"/>
      <c r="B948" s="549"/>
      <c r="C948" s="549"/>
      <c r="D948" s="549"/>
      <c r="E948" s="549"/>
      <c r="F948" s="549"/>
      <c r="G948" s="549"/>
    </row>
    <row r="949" spans="1:7">
      <c r="A949" s="549"/>
      <c r="B949" s="549"/>
      <c r="C949" s="549"/>
      <c r="D949" s="549"/>
      <c r="E949" s="549"/>
      <c r="F949" s="549"/>
      <c r="G949" s="549"/>
    </row>
    <row r="950" spans="1:7">
      <c r="A950" s="549"/>
      <c r="B950" s="549"/>
      <c r="C950" s="549"/>
      <c r="D950" s="549"/>
      <c r="E950" s="549"/>
      <c r="F950" s="549"/>
      <c r="G950" s="549"/>
    </row>
    <row r="951" spans="1:7">
      <c r="A951" s="549"/>
      <c r="B951" s="549"/>
      <c r="C951" s="549"/>
      <c r="D951" s="549"/>
      <c r="E951" s="549"/>
      <c r="F951" s="549"/>
      <c r="G951" s="549"/>
    </row>
    <row r="952" spans="1:7">
      <c r="A952" s="549"/>
      <c r="B952" s="549"/>
      <c r="C952" s="549"/>
      <c r="D952" s="549"/>
      <c r="E952" s="549"/>
      <c r="F952" s="549"/>
      <c r="G952" s="549"/>
    </row>
    <row r="953" spans="1:7">
      <c r="A953" s="549"/>
      <c r="B953" s="549"/>
      <c r="C953" s="549"/>
      <c r="D953" s="549"/>
      <c r="E953" s="549"/>
      <c r="F953" s="549"/>
      <c r="G953" s="549"/>
    </row>
    <row r="954" spans="1:7">
      <c r="A954" s="549"/>
      <c r="B954" s="549"/>
      <c r="C954" s="549"/>
      <c r="D954" s="549"/>
      <c r="E954" s="549"/>
      <c r="F954" s="549"/>
      <c r="G954" s="549"/>
    </row>
    <row r="955" spans="1:7">
      <c r="A955" s="549"/>
      <c r="B955" s="549"/>
      <c r="C955" s="549"/>
      <c r="D955" s="549"/>
      <c r="E955" s="549"/>
      <c r="F955" s="549"/>
      <c r="G955" s="549"/>
    </row>
    <row r="956" spans="1:7">
      <c r="A956" s="549"/>
      <c r="B956" s="549"/>
      <c r="C956" s="549"/>
      <c r="D956" s="549"/>
      <c r="E956" s="549"/>
      <c r="F956" s="549"/>
      <c r="G956" s="549"/>
    </row>
    <row r="957" spans="1:7">
      <c r="A957" s="549"/>
      <c r="B957" s="549"/>
      <c r="C957" s="549"/>
      <c r="D957" s="549"/>
      <c r="E957" s="549"/>
      <c r="F957" s="549"/>
      <c r="G957" s="549"/>
    </row>
    <row r="958" spans="1:7">
      <c r="A958" s="549"/>
      <c r="B958" s="549"/>
      <c r="C958" s="549"/>
      <c r="D958" s="549"/>
      <c r="E958" s="549"/>
      <c r="F958" s="549"/>
      <c r="G958" s="549"/>
    </row>
    <row r="959" spans="1:7">
      <c r="A959" s="549"/>
      <c r="B959" s="549"/>
      <c r="C959" s="549"/>
      <c r="D959" s="549"/>
      <c r="E959" s="549"/>
      <c r="F959" s="549"/>
      <c r="G959" s="549"/>
    </row>
    <row r="960" spans="1:7">
      <c r="A960" s="549"/>
      <c r="B960" s="549"/>
      <c r="C960" s="549"/>
      <c r="D960" s="549"/>
      <c r="E960" s="549"/>
      <c r="F960" s="549"/>
      <c r="G960" s="549"/>
    </row>
    <row r="961" spans="1:7">
      <c r="A961" s="549"/>
      <c r="B961" s="549"/>
      <c r="C961" s="549"/>
      <c r="D961" s="549"/>
      <c r="E961" s="549"/>
      <c r="F961" s="549"/>
      <c r="G961" s="549"/>
    </row>
    <row r="962" spans="1:7">
      <c r="A962" s="549"/>
      <c r="B962" s="549"/>
      <c r="C962" s="549"/>
      <c r="D962" s="549"/>
      <c r="E962" s="549"/>
      <c r="F962" s="549"/>
      <c r="G962" s="549"/>
    </row>
    <row r="963" spans="1:7">
      <c r="A963" s="549"/>
      <c r="B963" s="549"/>
      <c r="C963" s="549"/>
      <c r="D963" s="549"/>
      <c r="E963" s="549"/>
      <c r="F963" s="549"/>
      <c r="G963" s="549"/>
    </row>
    <row r="964" spans="1:7">
      <c r="A964" s="549"/>
      <c r="B964" s="549"/>
      <c r="C964" s="549"/>
      <c r="D964" s="549"/>
      <c r="E964" s="549"/>
      <c r="F964" s="549"/>
      <c r="G964" s="549"/>
    </row>
    <row r="965" spans="1:7">
      <c r="A965" s="549"/>
      <c r="B965" s="549"/>
      <c r="C965" s="549"/>
      <c r="D965" s="549"/>
      <c r="E965" s="549"/>
      <c r="F965" s="549"/>
      <c r="G965" s="549"/>
    </row>
    <row r="966" spans="1:7">
      <c r="A966" s="549"/>
      <c r="B966" s="549"/>
      <c r="C966" s="549"/>
      <c r="D966" s="549"/>
      <c r="E966" s="549"/>
      <c r="F966" s="549"/>
      <c r="G966" s="549"/>
    </row>
    <row r="967" spans="1:7">
      <c r="A967" s="549"/>
      <c r="B967" s="549"/>
      <c r="C967" s="549"/>
      <c r="D967" s="549"/>
      <c r="E967" s="549"/>
      <c r="F967" s="549"/>
      <c r="G967" s="549"/>
    </row>
    <row r="968" spans="1:7">
      <c r="A968" s="549"/>
      <c r="B968" s="549"/>
      <c r="C968" s="549"/>
      <c r="D968" s="549"/>
      <c r="E968" s="549"/>
      <c r="F968" s="549"/>
      <c r="G968" s="549"/>
    </row>
    <row r="969" spans="1:7">
      <c r="A969" s="549"/>
      <c r="B969" s="549"/>
      <c r="C969" s="549"/>
      <c r="D969" s="549"/>
      <c r="E969" s="549"/>
      <c r="F969" s="549"/>
      <c r="G969" s="549"/>
    </row>
    <row r="970" spans="1:7">
      <c r="A970" s="549"/>
      <c r="B970" s="549"/>
      <c r="C970" s="549"/>
      <c r="D970" s="549"/>
      <c r="E970" s="549"/>
      <c r="F970" s="549"/>
      <c r="G970" s="549"/>
    </row>
    <row r="971" spans="1:7">
      <c r="A971" s="549"/>
      <c r="B971" s="549"/>
      <c r="C971" s="549"/>
      <c r="D971" s="549"/>
      <c r="E971" s="549"/>
      <c r="F971" s="549"/>
      <c r="G971" s="549"/>
    </row>
    <row r="972" spans="1:7">
      <c r="A972" s="549"/>
      <c r="B972" s="549"/>
      <c r="C972" s="549"/>
      <c r="D972" s="549"/>
      <c r="E972" s="549"/>
      <c r="F972" s="549"/>
      <c r="G972" s="549"/>
    </row>
    <row r="973" spans="1:7">
      <c r="A973" s="549"/>
      <c r="B973" s="549"/>
      <c r="C973" s="549"/>
      <c r="D973" s="549"/>
      <c r="E973" s="549"/>
      <c r="F973" s="549"/>
      <c r="G973" s="549"/>
    </row>
    <row r="974" spans="1:7">
      <c r="A974" s="549"/>
      <c r="B974" s="549"/>
      <c r="C974" s="549"/>
      <c r="D974" s="549"/>
      <c r="E974" s="549"/>
      <c r="F974" s="549"/>
      <c r="G974" s="549"/>
    </row>
    <row r="975" spans="1:7">
      <c r="A975" s="549"/>
      <c r="B975" s="549"/>
      <c r="C975" s="549"/>
      <c r="D975" s="549"/>
      <c r="E975" s="549"/>
      <c r="F975" s="549"/>
      <c r="G975" s="549"/>
    </row>
    <row r="976" spans="1:7">
      <c r="A976" s="549"/>
      <c r="B976" s="549"/>
      <c r="C976" s="549"/>
      <c r="D976" s="549"/>
      <c r="E976" s="549"/>
      <c r="F976" s="549"/>
      <c r="G976" s="549"/>
    </row>
    <row r="977" spans="1:7">
      <c r="A977" s="549"/>
      <c r="B977" s="549"/>
      <c r="C977" s="549"/>
      <c r="D977" s="549"/>
      <c r="E977" s="549"/>
      <c r="F977" s="549"/>
      <c r="G977" s="549"/>
    </row>
    <row r="978" spans="1:7">
      <c r="A978" s="549"/>
      <c r="B978" s="549"/>
      <c r="C978" s="549"/>
      <c r="D978" s="549"/>
      <c r="E978" s="549"/>
      <c r="F978" s="549"/>
      <c r="G978" s="549"/>
    </row>
    <row r="979" spans="1:7">
      <c r="A979" s="549"/>
      <c r="B979" s="549"/>
      <c r="C979" s="549"/>
      <c r="D979" s="549"/>
      <c r="E979" s="549"/>
      <c r="F979" s="549"/>
      <c r="G979" s="549"/>
    </row>
    <row r="980" spans="1:7">
      <c r="A980" s="549"/>
      <c r="B980" s="549"/>
      <c r="C980" s="549"/>
      <c r="D980" s="549"/>
      <c r="E980" s="549"/>
      <c r="F980" s="549"/>
      <c r="G980" s="549"/>
    </row>
    <row r="981" spans="1:7">
      <c r="A981" s="549"/>
      <c r="B981" s="549"/>
      <c r="C981" s="549"/>
      <c r="D981" s="549"/>
      <c r="E981" s="549"/>
      <c r="F981" s="549"/>
      <c r="G981" s="549"/>
    </row>
    <row r="982" spans="1:7">
      <c r="A982" s="549"/>
      <c r="B982" s="549"/>
      <c r="C982" s="549"/>
      <c r="D982" s="549"/>
      <c r="E982" s="549"/>
      <c r="F982" s="549"/>
      <c r="G982" s="549"/>
    </row>
    <row r="983" spans="1:7">
      <c r="A983" s="549"/>
      <c r="B983" s="549"/>
      <c r="C983" s="549"/>
      <c r="D983" s="549"/>
      <c r="E983" s="549"/>
      <c r="F983" s="549"/>
      <c r="G983" s="549"/>
    </row>
    <row r="984" spans="1:7">
      <c r="A984" s="549"/>
      <c r="B984" s="549"/>
      <c r="C984" s="549"/>
      <c r="D984" s="549"/>
      <c r="E984" s="549"/>
      <c r="F984" s="549"/>
      <c r="G984" s="549"/>
    </row>
    <row r="985" spans="1:7">
      <c r="A985" s="549"/>
      <c r="B985" s="549"/>
      <c r="C985" s="549"/>
      <c r="D985" s="549"/>
      <c r="E985" s="549"/>
      <c r="F985" s="549"/>
      <c r="G985" s="549"/>
    </row>
    <row r="986" spans="1:7">
      <c r="A986" s="549"/>
      <c r="B986" s="549"/>
      <c r="C986" s="549"/>
      <c r="D986" s="549"/>
      <c r="E986" s="549"/>
      <c r="F986" s="549"/>
      <c r="G986" s="549"/>
    </row>
    <row r="987" spans="1:7">
      <c r="A987" s="549"/>
      <c r="B987" s="549"/>
      <c r="C987" s="549"/>
      <c r="D987" s="549"/>
      <c r="E987" s="549"/>
      <c r="F987" s="549"/>
      <c r="G987" s="549"/>
    </row>
    <row r="988" spans="1:7">
      <c r="A988" s="549"/>
      <c r="B988" s="549"/>
      <c r="C988" s="549"/>
      <c r="D988" s="549"/>
      <c r="E988" s="549"/>
      <c r="F988" s="549"/>
      <c r="G988" s="549"/>
    </row>
    <row r="989" spans="1:7">
      <c r="A989" s="549"/>
      <c r="B989" s="549"/>
      <c r="C989" s="549"/>
      <c r="D989" s="549"/>
      <c r="E989" s="549"/>
      <c r="F989" s="549"/>
      <c r="G989" s="549"/>
    </row>
    <row r="990" spans="1:7">
      <c r="A990" s="549"/>
      <c r="B990" s="549"/>
      <c r="C990" s="549"/>
      <c r="D990" s="549"/>
      <c r="E990" s="549"/>
      <c r="F990" s="549"/>
      <c r="G990" s="549"/>
    </row>
    <row r="991" spans="1:7">
      <c r="A991" s="549"/>
      <c r="B991" s="549"/>
      <c r="C991" s="549"/>
      <c r="D991" s="549"/>
      <c r="E991" s="549"/>
      <c r="F991" s="549"/>
      <c r="G991" s="549"/>
    </row>
    <row r="992" spans="1:7">
      <c r="A992" s="549"/>
      <c r="B992" s="549"/>
      <c r="C992" s="549"/>
      <c r="D992" s="549"/>
      <c r="E992" s="549"/>
      <c r="F992" s="549"/>
      <c r="G992" s="549"/>
    </row>
    <row r="993" spans="1:7">
      <c r="A993" s="549"/>
      <c r="B993" s="549"/>
      <c r="C993" s="549"/>
      <c r="D993" s="549"/>
      <c r="E993" s="549"/>
      <c r="F993" s="549"/>
      <c r="G993" s="549"/>
    </row>
    <row r="994" spans="1:7">
      <c r="A994" s="549"/>
      <c r="B994" s="549"/>
      <c r="C994" s="549"/>
      <c r="D994" s="549"/>
      <c r="E994" s="549"/>
      <c r="F994" s="549"/>
      <c r="G994" s="549"/>
    </row>
    <row r="995" spans="1:7">
      <c r="A995" s="549"/>
      <c r="B995" s="549"/>
      <c r="C995" s="549"/>
      <c r="D995" s="549"/>
      <c r="E995" s="549"/>
      <c r="F995" s="549"/>
      <c r="G995" s="549"/>
    </row>
    <row r="996" spans="1:7">
      <c r="A996" s="549"/>
      <c r="B996" s="549"/>
      <c r="C996" s="549"/>
      <c r="D996" s="549"/>
      <c r="E996" s="549"/>
      <c r="F996" s="549"/>
      <c r="G996" s="549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zoomScaleNormal="100" workbookViewId="0">
      <selection activeCell="F9" sqref="F9"/>
    </sheetView>
  </sheetViews>
  <sheetFormatPr defaultColWidth="8.7109375" defaultRowHeight="15"/>
  <cols>
    <col min="1" max="2" width="5.28515625" customWidth="1"/>
    <col min="3" max="3" width="44.7109375" bestFit="1" customWidth="1"/>
    <col min="4" max="4" width="7.140625" customWidth="1"/>
    <col min="5" max="5" width="18" bestFit="1" customWidth="1"/>
    <col min="6" max="6" width="25" customWidth="1"/>
    <col min="7" max="7" width="17.7109375" bestFit="1" customWidth="1"/>
    <col min="8" max="8" width="20.42578125" bestFit="1" customWidth="1"/>
  </cols>
  <sheetData>
    <row r="1" spans="1:8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8">
      <c r="A2" s="474" t="s">
        <v>6</v>
      </c>
      <c r="B2" s="475">
        <v>1305</v>
      </c>
      <c r="C2" s="474" t="s">
        <v>537</v>
      </c>
      <c r="D2" s="474"/>
      <c r="E2" s="476">
        <v>0</v>
      </c>
      <c r="F2" s="477"/>
      <c r="G2" s="478"/>
      <c r="H2" s="478"/>
    </row>
    <row r="3" spans="1:8">
      <c r="A3" s="479">
        <v>501</v>
      </c>
      <c r="B3" s="479">
        <v>1309</v>
      </c>
      <c r="C3" s="480" t="s">
        <v>7</v>
      </c>
      <c r="D3" s="481"/>
      <c r="E3" s="482">
        <v>0</v>
      </c>
      <c r="F3" s="483"/>
      <c r="G3" s="478"/>
      <c r="H3" s="478"/>
    </row>
    <row r="4" spans="1:8">
      <c r="A4" s="481" t="s">
        <v>8</v>
      </c>
      <c r="B4" s="479"/>
      <c r="C4" s="481" t="s">
        <v>9</v>
      </c>
      <c r="D4" s="481"/>
      <c r="E4" s="482">
        <v>0</v>
      </c>
      <c r="F4" s="483"/>
      <c r="G4" s="478"/>
      <c r="H4" s="478"/>
    </row>
    <row r="5" spans="1:8">
      <c r="A5" s="481" t="s">
        <v>10</v>
      </c>
      <c r="B5" s="479"/>
      <c r="C5" s="481" t="s">
        <v>11</v>
      </c>
      <c r="D5" s="481"/>
      <c r="E5" s="482">
        <v>0</v>
      </c>
      <c r="F5" s="483"/>
      <c r="G5" s="478"/>
      <c r="H5" s="478"/>
    </row>
    <row r="6" spans="1:8">
      <c r="A6" s="481" t="s">
        <v>12</v>
      </c>
      <c r="B6" s="479"/>
      <c r="C6" s="481" t="s">
        <v>13</v>
      </c>
      <c r="D6" s="481"/>
      <c r="E6" s="482">
        <v>0</v>
      </c>
      <c r="F6" s="483"/>
      <c r="G6" s="478"/>
      <c r="H6" s="478"/>
    </row>
    <row r="7" spans="1:8">
      <c r="A7" s="481" t="s">
        <v>14</v>
      </c>
      <c r="B7" s="479">
        <v>1401</v>
      </c>
      <c r="C7" s="481" t="s">
        <v>15</v>
      </c>
      <c r="D7" s="481"/>
      <c r="E7" s="482">
        <v>0</v>
      </c>
      <c r="F7" s="483"/>
      <c r="G7" s="478"/>
      <c r="H7" s="478"/>
    </row>
    <row r="8" spans="1:8">
      <c r="A8" s="481" t="s">
        <v>16</v>
      </c>
      <c r="B8" s="479">
        <v>1305</v>
      </c>
      <c r="C8" s="481" t="s">
        <v>538</v>
      </c>
      <c r="D8" s="481"/>
      <c r="E8" s="482">
        <v>0</v>
      </c>
      <c r="F8" s="483"/>
      <c r="G8" s="478"/>
      <c r="H8" s="478"/>
    </row>
    <row r="9" spans="1:8">
      <c r="A9" s="479">
        <v>518</v>
      </c>
      <c r="B9" s="479">
        <v>1314</v>
      </c>
      <c r="C9" s="481" t="s">
        <v>17</v>
      </c>
      <c r="D9" s="481"/>
      <c r="E9" s="482">
        <v>30250</v>
      </c>
      <c r="F9" s="236" t="s">
        <v>583</v>
      </c>
      <c r="G9" s="478"/>
      <c r="H9" s="478"/>
    </row>
    <row r="10" spans="1:8">
      <c r="A10" s="481" t="s">
        <v>18</v>
      </c>
      <c r="B10" s="479">
        <v>1301</v>
      </c>
      <c r="C10" s="481" t="s">
        <v>19</v>
      </c>
      <c r="D10" s="481"/>
      <c r="E10" s="482">
        <v>0</v>
      </c>
      <c r="F10" s="483"/>
      <c r="G10" s="478"/>
      <c r="H10" s="478"/>
    </row>
    <row r="11" spans="1:8">
      <c r="A11" s="479">
        <v>521</v>
      </c>
      <c r="B11" s="479">
        <v>1304</v>
      </c>
      <c r="C11" s="481" t="s">
        <v>20</v>
      </c>
      <c r="D11" s="481"/>
      <c r="E11" s="482">
        <v>0</v>
      </c>
      <c r="F11" s="483"/>
      <c r="G11" s="478"/>
      <c r="H11" s="478"/>
    </row>
    <row r="12" spans="1:8">
      <c r="A12" s="479">
        <v>521</v>
      </c>
      <c r="B12" s="479">
        <v>1304</v>
      </c>
      <c r="C12" s="481" t="s">
        <v>21</v>
      </c>
      <c r="D12" s="481"/>
      <c r="E12" s="482">
        <v>0</v>
      </c>
      <c r="F12" s="483"/>
      <c r="G12" s="478"/>
      <c r="H12" s="478"/>
    </row>
    <row r="13" spans="1:8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0</v>
      </c>
      <c r="F13" s="483"/>
      <c r="G13" s="478"/>
      <c r="H13" s="478"/>
    </row>
    <row r="14" spans="1:8">
      <c r="A14" s="479">
        <v>524</v>
      </c>
      <c r="B14" s="479">
        <v>1303</v>
      </c>
      <c r="C14" s="481" t="s">
        <v>540</v>
      </c>
      <c r="D14" s="484">
        <v>0.25</v>
      </c>
      <c r="E14" s="482">
        <f>(E10+E12)*D14</f>
        <v>0</v>
      </c>
      <c r="F14" s="483"/>
      <c r="G14" s="478"/>
      <c r="H14" s="478"/>
    </row>
    <row r="15" spans="1:8">
      <c r="A15" s="481" t="s">
        <v>24</v>
      </c>
      <c r="B15" s="479">
        <v>1301</v>
      </c>
      <c r="C15" s="481" t="s">
        <v>541</v>
      </c>
      <c r="D15" s="484"/>
      <c r="E15" s="482">
        <v>0</v>
      </c>
      <c r="F15" s="483"/>
      <c r="G15" s="478"/>
      <c r="H15" s="478"/>
    </row>
    <row r="16" spans="1:8">
      <c r="A16" s="481" t="s">
        <v>26</v>
      </c>
      <c r="B16" s="479">
        <v>1363</v>
      </c>
      <c r="C16" s="481" t="s">
        <v>542</v>
      </c>
      <c r="D16" s="485">
        <v>1.4999999999999999E-2</v>
      </c>
      <c r="E16" s="482">
        <f>E10*D16</f>
        <v>0</v>
      </c>
      <c r="F16" s="483"/>
      <c r="G16" s="478"/>
      <c r="H16" s="478"/>
    </row>
    <row r="17" spans="1:8">
      <c r="A17" s="479">
        <v>549</v>
      </c>
      <c r="B17" s="479">
        <v>1309</v>
      </c>
      <c r="C17" s="481" t="s">
        <v>27</v>
      </c>
      <c r="D17" s="481"/>
      <c r="E17" s="482">
        <v>0</v>
      </c>
      <c r="F17" s="483"/>
      <c r="G17" s="478"/>
      <c r="H17" s="478"/>
    </row>
    <row r="18" spans="1:8" ht="15.75" thickBot="1">
      <c r="A18" s="479">
        <v>799</v>
      </c>
      <c r="B18" s="479"/>
      <c r="C18" s="481" t="s">
        <v>33</v>
      </c>
      <c r="D18" s="481"/>
      <c r="E18" s="482">
        <v>0</v>
      </c>
      <c r="F18" s="486"/>
      <c r="G18" s="478"/>
      <c r="H18" s="478"/>
    </row>
    <row r="19" spans="1:8">
      <c r="C19" s="487" t="s">
        <v>36</v>
      </c>
      <c r="D19" s="488"/>
      <c r="E19" s="489">
        <f>SUM(E2:E18)</f>
        <v>30250</v>
      </c>
      <c r="F19" s="490"/>
    </row>
    <row r="22" spans="1:8">
      <c r="C22" t="s">
        <v>578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zoomScaleNormal="100" workbookViewId="0">
      <selection activeCell="G32" sqref="G32"/>
    </sheetView>
  </sheetViews>
  <sheetFormatPr defaultColWidth="8.7109375" defaultRowHeight="15"/>
  <cols>
    <col min="1" max="2" width="5.28515625" customWidth="1"/>
    <col min="3" max="3" width="44.7109375" bestFit="1" customWidth="1"/>
    <col min="4" max="4" width="7.140625" customWidth="1"/>
    <col min="5" max="5" width="18" bestFit="1" customWidth="1"/>
    <col min="6" max="6" width="23" customWidth="1"/>
    <col min="7" max="7" width="17.7109375" bestFit="1" customWidth="1"/>
    <col min="8" max="8" width="20.42578125" bestFit="1" customWidth="1"/>
  </cols>
  <sheetData>
    <row r="1" spans="1:8">
      <c r="A1" s="472" t="s">
        <v>2</v>
      </c>
      <c r="B1" s="472" t="s">
        <v>535</v>
      </c>
      <c r="C1" s="472" t="s">
        <v>3</v>
      </c>
      <c r="D1" s="472" t="s">
        <v>4</v>
      </c>
      <c r="E1" s="472" t="s">
        <v>511</v>
      </c>
      <c r="F1" s="473" t="s">
        <v>536</v>
      </c>
    </row>
    <row r="2" spans="1:8">
      <c r="A2" s="474" t="s">
        <v>6</v>
      </c>
      <c r="B2" s="475">
        <v>1305</v>
      </c>
      <c r="C2" s="474" t="s">
        <v>537</v>
      </c>
      <c r="D2" s="474"/>
      <c r="E2" s="476">
        <v>0</v>
      </c>
      <c r="F2" s="477"/>
      <c r="G2" s="478"/>
      <c r="H2" s="478"/>
    </row>
    <row r="3" spans="1:8">
      <c r="A3" s="479">
        <v>501</v>
      </c>
      <c r="B3" s="479">
        <v>1309</v>
      </c>
      <c r="C3" s="480" t="s">
        <v>7</v>
      </c>
      <c r="D3" s="481"/>
      <c r="E3" s="482">
        <v>0</v>
      </c>
      <c r="F3" s="483"/>
      <c r="G3" s="478"/>
      <c r="H3" s="478"/>
    </row>
    <row r="4" spans="1:8">
      <c r="A4" s="481" t="s">
        <v>8</v>
      </c>
      <c r="B4" s="479"/>
      <c r="C4" s="481" t="s">
        <v>9</v>
      </c>
      <c r="D4" s="481"/>
      <c r="E4" s="482">
        <v>0</v>
      </c>
      <c r="F4" s="483"/>
      <c r="G4" s="478"/>
      <c r="H4" s="478"/>
    </row>
    <row r="5" spans="1:8">
      <c r="A5" s="481" t="s">
        <v>10</v>
      </c>
      <c r="B5" s="479"/>
      <c r="C5" s="481" t="s">
        <v>11</v>
      </c>
      <c r="D5" s="481"/>
      <c r="E5" s="482">
        <v>0</v>
      </c>
      <c r="F5" s="483"/>
      <c r="G5" s="478"/>
      <c r="H5" s="478"/>
    </row>
    <row r="6" spans="1:8">
      <c r="A6" s="481" t="s">
        <v>12</v>
      </c>
      <c r="B6" s="479"/>
      <c r="C6" s="481" t="s">
        <v>13</v>
      </c>
      <c r="D6" s="481"/>
      <c r="E6" s="482">
        <v>0</v>
      </c>
      <c r="F6" s="483"/>
      <c r="G6" s="478"/>
      <c r="H6" s="478"/>
    </row>
    <row r="7" spans="1:8">
      <c r="A7" s="481" t="s">
        <v>14</v>
      </c>
      <c r="B7" s="479">
        <v>1401</v>
      </c>
      <c r="C7" s="481" t="s">
        <v>15</v>
      </c>
      <c r="D7" s="481"/>
      <c r="E7" s="482">
        <v>0</v>
      </c>
      <c r="F7" s="483"/>
      <c r="G7" s="478"/>
      <c r="H7" s="478"/>
    </row>
    <row r="8" spans="1:8">
      <c r="A8" s="481" t="s">
        <v>16</v>
      </c>
      <c r="B8" s="479">
        <v>1305</v>
      </c>
      <c r="C8" s="481" t="s">
        <v>538</v>
      </c>
      <c r="D8" s="481"/>
      <c r="E8" s="482">
        <v>0</v>
      </c>
      <c r="F8" s="483"/>
      <c r="G8" s="478"/>
      <c r="H8" s="478"/>
    </row>
    <row r="9" spans="1:8">
      <c r="A9" s="479">
        <v>518</v>
      </c>
      <c r="B9" s="479">
        <v>1314</v>
      </c>
      <c r="C9" s="481" t="s">
        <v>17</v>
      </c>
      <c r="D9" s="481"/>
      <c r="E9" s="482">
        <v>0</v>
      </c>
      <c r="F9" s="483"/>
      <c r="G9" s="478"/>
      <c r="H9" s="478"/>
    </row>
    <row r="10" spans="1:8">
      <c r="A10" s="481" t="s">
        <v>18</v>
      </c>
      <c r="B10" s="479">
        <v>1301</v>
      </c>
      <c r="C10" s="481" t="s">
        <v>19</v>
      </c>
      <c r="D10" s="481"/>
      <c r="E10" s="482">
        <v>0</v>
      </c>
      <c r="F10" s="483"/>
      <c r="G10" s="478"/>
      <c r="H10" s="478"/>
    </row>
    <row r="11" spans="1:8">
      <c r="A11" s="479">
        <v>521</v>
      </c>
      <c r="B11" s="479">
        <v>1304</v>
      </c>
      <c r="C11" s="481" t="s">
        <v>20</v>
      </c>
      <c r="D11" s="481"/>
      <c r="E11" s="482">
        <v>0</v>
      </c>
      <c r="F11" s="483"/>
      <c r="G11" s="478"/>
      <c r="H11" s="478"/>
    </row>
    <row r="12" spans="1:8">
      <c r="A12" s="479">
        <v>521</v>
      </c>
      <c r="B12" s="479">
        <v>1304</v>
      </c>
      <c r="C12" s="481" t="s">
        <v>21</v>
      </c>
      <c r="D12" s="481"/>
      <c r="E12" s="482">
        <v>0</v>
      </c>
      <c r="F12" s="483"/>
      <c r="G12" s="478"/>
      <c r="H12" s="478"/>
    </row>
    <row r="13" spans="1:8">
      <c r="A13" s="481" t="s">
        <v>22</v>
      </c>
      <c r="B13" s="479">
        <v>1301</v>
      </c>
      <c r="C13" s="481" t="s">
        <v>539</v>
      </c>
      <c r="D13" s="484">
        <v>0.09</v>
      </c>
      <c r="E13" s="482">
        <f>(E10+E12)*D13</f>
        <v>0</v>
      </c>
      <c r="F13" s="483"/>
      <c r="G13" s="478"/>
      <c r="H13" s="478"/>
    </row>
    <row r="14" spans="1:8">
      <c r="A14" s="479">
        <v>524</v>
      </c>
      <c r="B14" s="479">
        <v>1303</v>
      </c>
      <c r="C14" s="481" t="s">
        <v>540</v>
      </c>
      <c r="D14" s="484">
        <v>0.25</v>
      </c>
      <c r="E14" s="482">
        <f>(E10+E12)*D14</f>
        <v>0</v>
      </c>
      <c r="F14" s="483"/>
      <c r="G14" s="478"/>
      <c r="H14" s="478"/>
    </row>
    <row r="15" spans="1:8">
      <c r="A15" s="481" t="s">
        <v>24</v>
      </c>
      <c r="B15" s="479">
        <v>1301</v>
      </c>
      <c r="C15" s="481" t="s">
        <v>541</v>
      </c>
      <c r="D15" s="484"/>
      <c r="E15" s="482">
        <v>0</v>
      </c>
      <c r="F15" s="483"/>
      <c r="G15" s="478"/>
      <c r="H15" s="478"/>
    </row>
    <row r="16" spans="1:8">
      <c r="A16" s="481" t="s">
        <v>26</v>
      </c>
      <c r="B16" s="479">
        <v>1363</v>
      </c>
      <c r="C16" s="481" t="s">
        <v>542</v>
      </c>
      <c r="D16" s="485">
        <v>1.4999999999999999E-2</v>
      </c>
      <c r="E16" s="482">
        <f>E10*D16</f>
        <v>0</v>
      </c>
      <c r="F16" s="483"/>
      <c r="G16" s="478"/>
      <c r="H16" s="478"/>
    </row>
    <row r="17" spans="1:8">
      <c r="A17" s="479">
        <v>549</v>
      </c>
      <c r="B17" s="479">
        <v>1309</v>
      </c>
      <c r="C17" s="481" t="s">
        <v>27</v>
      </c>
      <c r="D17" s="481"/>
      <c r="E17" s="482">
        <v>0</v>
      </c>
      <c r="F17" s="483"/>
      <c r="G17" s="478"/>
      <c r="H17" s="478"/>
    </row>
    <row r="18" spans="1:8" ht="15.75" thickBot="1">
      <c r="A18" s="540">
        <v>799</v>
      </c>
      <c r="B18" s="540"/>
      <c r="C18" s="481" t="s">
        <v>33</v>
      </c>
      <c r="D18" s="481"/>
      <c r="E18" s="482">
        <v>0</v>
      </c>
      <c r="F18" s="486"/>
      <c r="G18" s="478"/>
      <c r="H18" s="478"/>
    </row>
    <row r="19" spans="1:8">
      <c r="C19" s="487" t="s">
        <v>36</v>
      </c>
      <c r="D19" s="488"/>
      <c r="E19" s="489">
        <f>SUM(E2:E18)</f>
        <v>0</v>
      </c>
      <c r="F19" s="490"/>
    </row>
    <row r="20" spans="1:8">
      <c r="A20" s="538">
        <v>602</v>
      </c>
      <c r="B20" s="534"/>
      <c r="C20" s="534"/>
      <c r="D20" s="534"/>
      <c r="E20" s="554">
        <v>10000</v>
      </c>
      <c r="F20" s="534" t="s">
        <v>584</v>
      </c>
    </row>
    <row r="22" spans="1:8">
      <c r="C22" t="s">
        <v>579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47"/>
  <sheetViews>
    <sheetView zoomScaleNormal="100" workbookViewId="0">
      <selection activeCell="O36" sqref="O36"/>
    </sheetView>
  </sheetViews>
  <sheetFormatPr defaultColWidth="8.7109375" defaultRowHeight="9"/>
  <cols>
    <col min="1" max="1" width="6.42578125" style="106" customWidth="1"/>
    <col min="2" max="2" width="7.28515625" style="106" customWidth="1"/>
    <col min="3" max="3" width="26.42578125" style="106" customWidth="1"/>
    <col min="4" max="12" width="11.28515625" style="106" customWidth="1"/>
    <col min="13" max="16384" width="8.7109375" style="106"/>
  </cols>
  <sheetData>
    <row r="1" spans="1:15">
      <c r="A1" s="688" t="s">
        <v>517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</row>
    <row r="2" spans="1:15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</row>
    <row r="3" spans="1:15">
      <c r="A3" s="688" t="s">
        <v>130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1:15">
      <c r="A4" s="688" t="s">
        <v>129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</row>
    <row r="5" spans="1:15">
      <c r="A5" s="688" t="s">
        <v>128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</row>
    <row r="6" spans="1:15">
      <c r="A6" s="688"/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</row>
    <row r="7" spans="1:15" ht="21.4" customHeight="1">
      <c r="A7" s="688" t="s">
        <v>127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128"/>
    </row>
    <row r="9" spans="1:15">
      <c r="A9" s="689"/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</row>
    <row r="10" spans="1:15">
      <c r="A10" s="102"/>
      <c r="B10" s="690" t="s">
        <v>126</v>
      </c>
      <c r="C10" s="690"/>
      <c r="D10" s="690"/>
      <c r="E10" s="690" t="s">
        <v>125</v>
      </c>
      <c r="F10" s="690" t="s">
        <v>124</v>
      </c>
      <c r="G10" s="690"/>
      <c r="H10" s="690"/>
      <c r="I10" s="690"/>
      <c r="J10" s="690"/>
      <c r="K10" s="690"/>
      <c r="L10" s="690"/>
    </row>
    <row r="11" spans="1:15">
      <c r="A11" s="102" t="s">
        <v>122</v>
      </c>
      <c r="B11" s="102" t="s">
        <v>123</v>
      </c>
      <c r="C11" s="102" t="s">
        <v>122</v>
      </c>
      <c r="D11" s="102" t="s">
        <v>121</v>
      </c>
      <c r="E11" s="690"/>
      <c r="F11" s="102" t="s">
        <v>120</v>
      </c>
      <c r="G11" s="102" t="s">
        <v>119</v>
      </c>
      <c r="H11" s="102" t="s">
        <v>118</v>
      </c>
      <c r="I11" s="102" t="s">
        <v>117</v>
      </c>
      <c r="J11" s="102" t="s">
        <v>43</v>
      </c>
      <c r="K11" s="102" t="s">
        <v>116</v>
      </c>
      <c r="L11" s="102" t="s">
        <v>115</v>
      </c>
    </row>
    <row r="12" spans="1:15">
      <c r="A12" s="127" t="s">
        <v>39</v>
      </c>
      <c r="B12" s="127" t="s">
        <v>114</v>
      </c>
      <c r="C12" s="127" t="s">
        <v>98</v>
      </c>
      <c r="D12" s="126">
        <v>1</v>
      </c>
      <c r="E12" s="127" t="s">
        <v>109</v>
      </c>
      <c r="F12" s="126">
        <v>100</v>
      </c>
      <c r="G12" s="126">
        <v>1</v>
      </c>
      <c r="H12" s="126">
        <v>31</v>
      </c>
      <c r="I12" s="126">
        <v>1</v>
      </c>
      <c r="J12" s="126">
        <v>133</v>
      </c>
      <c r="K12" s="126">
        <v>131.5</v>
      </c>
      <c r="L12" s="126">
        <v>131.5</v>
      </c>
      <c r="O12" s="467"/>
    </row>
    <row r="13" spans="1:15">
      <c r="A13" s="127" t="s">
        <v>39</v>
      </c>
      <c r="B13" s="127" t="s">
        <v>114</v>
      </c>
      <c r="C13" s="127" t="s">
        <v>98</v>
      </c>
      <c r="D13" s="126">
        <v>1</v>
      </c>
      <c r="E13" s="127" t="s">
        <v>107</v>
      </c>
      <c r="F13" s="126">
        <v>0</v>
      </c>
      <c r="G13" s="126">
        <v>17</v>
      </c>
      <c r="H13" s="126">
        <v>193</v>
      </c>
      <c r="I13" s="126">
        <v>3</v>
      </c>
      <c r="J13" s="126">
        <v>213</v>
      </c>
      <c r="K13" s="126">
        <v>194.5</v>
      </c>
      <c r="L13" s="126">
        <v>194.5</v>
      </c>
      <c r="O13" s="467"/>
    </row>
    <row r="14" spans="1:15">
      <c r="A14" s="127" t="s">
        <v>42</v>
      </c>
      <c r="B14" s="127" t="s">
        <v>113</v>
      </c>
      <c r="C14" s="127" t="s">
        <v>93</v>
      </c>
      <c r="D14" s="126">
        <v>1</v>
      </c>
      <c r="E14" s="127" t="s">
        <v>109</v>
      </c>
      <c r="F14" s="126">
        <v>83</v>
      </c>
      <c r="G14" s="126">
        <v>4</v>
      </c>
      <c r="H14" s="126">
        <v>47</v>
      </c>
      <c r="I14" s="126">
        <v>0</v>
      </c>
      <c r="J14" s="126">
        <v>134</v>
      </c>
      <c r="K14" s="126">
        <v>130</v>
      </c>
      <c r="L14" s="126">
        <v>130</v>
      </c>
      <c r="O14" s="467"/>
    </row>
    <row r="15" spans="1:15">
      <c r="A15" s="127" t="s">
        <v>42</v>
      </c>
      <c r="B15" s="127" t="s">
        <v>113</v>
      </c>
      <c r="C15" s="127" t="s">
        <v>93</v>
      </c>
      <c r="D15" s="126">
        <v>1</v>
      </c>
      <c r="E15" s="127" t="s">
        <v>107</v>
      </c>
      <c r="F15" s="126">
        <v>0</v>
      </c>
      <c r="G15" s="126">
        <v>28</v>
      </c>
      <c r="H15" s="126">
        <v>237</v>
      </c>
      <c r="I15" s="126">
        <v>5</v>
      </c>
      <c r="J15" s="126">
        <v>270</v>
      </c>
      <c r="K15" s="126">
        <v>239.5</v>
      </c>
      <c r="L15" s="126">
        <v>239.5</v>
      </c>
    </row>
    <row r="16" spans="1:15">
      <c r="A16" s="127" t="s">
        <v>41</v>
      </c>
      <c r="B16" s="127" t="s">
        <v>112</v>
      </c>
      <c r="C16" s="127" t="s">
        <v>91</v>
      </c>
      <c r="D16" s="126">
        <v>1</v>
      </c>
      <c r="E16" s="127" t="s">
        <v>109</v>
      </c>
      <c r="F16" s="126">
        <v>137</v>
      </c>
      <c r="G16" s="126">
        <v>4</v>
      </c>
      <c r="H16" s="126">
        <v>65</v>
      </c>
      <c r="I16" s="126">
        <v>3</v>
      </c>
      <c r="J16" s="126">
        <v>209</v>
      </c>
      <c r="K16" s="126">
        <v>203.5</v>
      </c>
      <c r="L16" s="126">
        <v>203.5</v>
      </c>
    </row>
    <row r="17" spans="1:12">
      <c r="A17" s="127" t="s">
        <v>41</v>
      </c>
      <c r="B17" s="127" t="s">
        <v>112</v>
      </c>
      <c r="C17" s="127" t="s">
        <v>91</v>
      </c>
      <c r="D17" s="126">
        <v>1</v>
      </c>
      <c r="E17" s="127" t="s">
        <v>107</v>
      </c>
      <c r="F17" s="126">
        <v>0</v>
      </c>
      <c r="G17" s="126">
        <v>33</v>
      </c>
      <c r="H17" s="126">
        <v>261</v>
      </c>
      <c r="I17" s="126">
        <v>3</v>
      </c>
      <c r="J17" s="126">
        <v>297</v>
      </c>
      <c r="K17" s="126">
        <v>262.5</v>
      </c>
      <c r="L17" s="126">
        <v>262.5</v>
      </c>
    </row>
    <row r="18" spans="1:12">
      <c r="A18" s="127" t="s">
        <v>40</v>
      </c>
      <c r="B18" s="127" t="s">
        <v>111</v>
      </c>
      <c r="C18" s="127" t="s">
        <v>89</v>
      </c>
      <c r="D18" s="126">
        <v>1</v>
      </c>
      <c r="E18" s="127" t="s">
        <v>109</v>
      </c>
      <c r="F18" s="126">
        <v>84</v>
      </c>
      <c r="G18" s="126">
        <v>1</v>
      </c>
      <c r="H18" s="126">
        <v>31</v>
      </c>
      <c r="I18" s="126">
        <v>1</v>
      </c>
      <c r="J18" s="126">
        <v>117</v>
      </c>
      <c r="K18" s="126">
        <v>115.5</v>
      </c>
      <c r="L18" s="126">
        <v>115.5</v>
      </c>
    </row>
    <row r="19" spans="1:12">
      <c r="A19" s="127" t="s">
        <v>40</v>
      </c>
      <c r="B19" s="127" t="s">
        <v>111</v>
      </c>
      <c r="C19" s="127" t="s">
        <v>89</v>
      </c>
      <c r="D19" s="126">
        <v>1</v>
      </c>
      <c r="E19" s="127" t="s">
        <v>107</v>
      </c>
      <c r="F19" s="126">
        <v>0</v>
      </c>
      <c r="G19" s="126">
        <v>18</v>
      </c>
      <c r="H19" s="126">
        <v>153</v>
      </c>
      <c r="I19" s="126">
        <v>6</v>
      </c>
      <c r="J19" s="126">
        <v>177</v>
      </c>
      <c r="K19" s="126">
        <v>156</v>
      </c>
      <c r="L19" s="126">
        <v>156</v>
      </c>
    </row>
    <row r="20" spans="1:12">
      <c r="A20" s="127" t="s">
        <v>41</v>
      </c>
      <c r="B20" s="127" t="s">
        <v>110</v>
      </c>
      <c r="C20" s="127" t="s">
        <v>87</v>
      </c>
      <c r="D20" s="126">
        <v>1</v>
      </c>
      <c r="E20" s="127" t="s">
        <v>109</v>
      </c>
      <c r="F20" s="126">
        <v>9</v>
      </c>
      <c r="G20" s="126">
        <v>3</v>
      </c>
      <c r="H20" s="126">
        <v>20</v>
      </c>
      <c r="I20" s="126">
        <v>0</v>
      </c>
      <c r="J20" s="126">
        <v>32</v>
      </c>
      <c r="K20" s="126">
        <v>29</v>
      </c>
      <c r="L20" s="126">
        <v>29</v>
      </c>
    </row>
    <row r="21" spans="1:12">
      <c r="A21" s="127" t="s">
        <v>41</v>
      </c>
      <c r="B21" s="127" t="s">
        <v>110</v>
      </c>
      <c r="C21" s="127" t="s">
        <v>87</v>
      </c>
      <c r="D21" s="126">
        <v>1</v>
      </c>
      <c r="E21" s="127" t="s">
        <v>107</v>
      </c>
      <c r="F21" s="126">
        <v>0</v>
      </c>
      <c r="G21" s="126">
        <v>8</v>
      </c>
      <c r="H21" s="126">
        <v>12</v>
      </c>
      <c r="I21" s="126">
        <v>0</v>
      </c>
      <c r="J21" s="126">
        <v>20</v>
      </c>
      <c r="K21" s="126">
        <v>12</v>
      </c>
      <c r="L21" s="126">
        <v>12</v>
      </c>
    </row>
    <row r="22" spans="1:12">
      <c r="A22" s="127" t="s">
        <v>52</v>
      </c>
      <c r="B22" s="127" t="s">
        <v>108</v>
      </c>
      <c r="C22" s="127" t="s">
        <v>84</v>
      </c>
      <c r="D22" s="126">
        <v>1.2</v>
      </c>
      <c r="E22" s="127" t="s">
        <v>109</v>
      </c>
      <c r="F22" s="126">
        <v>98</v>
      </c>
      <c r="G22" s="126">
        <v>9</v>
      </c>
      <c r="H22" s="126">
        <v>120</v>
      </c>
      <c r="I22" s="126">
        <v>2</v>
      </c>
      <c r="J22" s="126">
        <v>229</v>
      </c>
      <c r="K22" s="126">
        <v>219</v>
      </c>
      <c r="L22" s="126">
        <v>262.8</v>
      </c>
    </row>
    <row r="23" spans="1:12">
      <c r="A23" s="127" t="s">
        <v>52</v>
      </c>
      <c r="B23" s="127" t="s">
        <v>108</v>
      </c>
      <c r="C23" s="127" t="s">
        <v>84</v>
      </c>
      <c r="D23" s="126">
        <v>1.2</v>
      </c>
      <c r="E23" s="127" t="s">
        <v>107</v>
      </c>
      <c r="F23" s="126">
        <v>0</v>
      </c>
      <c r="G23" s="126">
        <v>57</v>
      </c>
      <c r="H23" s="126">
        <v>356</v>
      </c>
      <c r="I23" s="126">
        <v>8</v>
      </c>
      <c r="J23" s="126">
        <v>421</v>
      </c>
      <c r="K23" s="126">
        <v>360</v>
      </c>
      <c r="L23" s="126">
        <v>432</v>
      </c>
    </row>
    <row r="24" spans="1:12">
      <c r="A24" s="127" t="s">
        <v>39</v>
      </c>
      <c r="B24" s="127" t="s">
        <v>106</v>
      </c>
      <c r="C24" s="127" t="s">
        <v>98</v>
      </c>
      <c r="D24" s="126">
        <v>1</v>
      </c>
      <c r="E24" s="127" t="s">
        <v>102</v>
      </c>
      <c r="F24" s="126">
        <v>0</v>
      </c>
      <c r="G24" s="126">
        <v>1</v>
      </c>
      <c r="H24" s="126">
        <v>64</v>
      </c>
      <c r="I24" s="126">
        <v>0</v>
      </c>
      <c r="J24" s="126">
        <v>65</v>
      </c>
      <c r="K24" s="126">
        <v>64</v>
      </c>
      <c r="L24" s="126">
        <v>64</v>
      </c>
    </row>
    <row r="25" spans="1:12">
      <c r="A25" s="127" t="s">
        <v>39</v>
      </c>
      <c r="B25" s="127" t="s">
        <v>106</v>
      </c>
      <c r="C25" s="127" t="s">
        <v>98</v>
      </c>
      <c r="D25" s="126">
        <v>1</v>
      </c>
      <c r="E25" s="127" t="s">
        <v>100</v>
      </c>
      <c r="F25" s="126">
        <v>0</v>
      </c>
      <c r="G25" s="126">
        <v>34</v>
      </c>
      <c r="H25" s="126">
        <v>86</v>
      </c>
      <c r="I25" s="126">
        <v>1</v>
      </c>
      <c r="J25" s="126">
        <v>121</v>
      </c>
      <c r="K25" s="126">
        <v>86.5</v>
      </c>
      <c r="L25" s="126">
        <v>86.5</v>
      </c>
    </row>
    <row r="26" spans="1:12">
      <c r="A26" s="127" t="s">
        <v>42</v>
      </c>
      <c r="B26" s="127" t="s">
        <v>105</v>
      </c>
      <c r="C26" s="127" t="s">
        <v>93</v>
      </c>
      <c r="D26" s="126">
        <v>1</v>
      </c>
      <c r="E26" s="127" t="s">
        <v>102</v>
      </c>
      <c r="F26" s="126">
        <v>0</v>
      </c>
      <c r="G26" s="126">
        <v>1</v>
      </c>
      <c r="H26" s="126">
        <v>116</v>
      </c>
      <c r="I26" s="126">
        <v>0</v>
      </c>
      <c r="J26" s="126">
        <v>117</v>
      </c>
      <c r="K26" s="126">
        <v>116</v>
      </c>
      <c r="L26" s="126">
        <v>116</v>
      </c>
    </row>
    <row r="27" spans="1:12">
      <c r="A27" s="127" t="s">
        <v>42</v>
      </c>
      <c r="B27" s="127" t="s">
        <v>105</v>
      </c>
      <c r="C27" s="127" t="s">
        <v>93</v>
      </c>
      <c r="D27" s="126">
        <v>1</v>
      </c>
      <c r="E27" s="127" t="s">
        <v>100</v>
      </c>
      <c r="F27" s="126">
        <v>0</v>
      </c>
      <c r="G27" s="126">
        <v>44</v>
      </c>
      <c r="H27" s="126">
        <v>167</v>
      </c>
      <c r="I27" s="126">
        <v>2</v>
      </c>
      <c r="J27" s="126">
        <v>213</v>
      </c>
      <c r="K27" s="126">
        <v>168</v>
      </c>
      <c r="L27" s="126">
        <v>168</v>
      </c>
    </row>
    <row r="28" spans="1:12">
      <c r="A28" s="127" t="s">
        <v>41</v>
      </c>
      <c r="B28" s="127" t="s">
        <v>104</v>
      </c>
      <c r="C28" s="127" t="s">
        <v>91</v>
      </c>
      <c r="D28" s="126">
        <v>1</v>
      </c>
      <c r="E28" s="127" t="s">
        <v>102</v>
      </c>
      <c r="F28" s="126">
        <v>0</v>
      </c>
      <c r="G28" s="126">
        <v>1</v>
      </c>
      <c r="H28" s="126">
        <v>74</v>
      </c>
      <c r="I28" s="126">
        <v>0</v>
      </c>
      <c r="J28" s="126">
        <v>75</v>
      </c>
      <c r="K28" s="126">
        <v>74</v>
      </c>
      <c r="L28" s="126">
        <v>74</v>
      </c>
    </row>
    <row r="29" spans="1:12">
      <c r="A29" s="127" t="s">
        <v>41</v>
      </c>
      <c r="B29" s="127" t="s">
        <v>104</v>
      </c>
      <c r="C29" s="127" t="s">
        <v>91</v>
      </c>
      <c r="D29" s="126">
        <v>1</v>
      </c>
      <c r="E29" s="127" t="s">
        <v>100</v>
      </c>
      <c r="F29" s="126">
        <v>0</v>
      </c>
      <c r="G29" s="126">
        <v>14</v>
      </c>
      <c r="H29" s="126">
        <v>76</v>
      </c>
      <c r="I29" s="126">
        <v>0</v>
      </c>
      <c r="J29" s="126">
        <v>90</v>
      </c>
      <c r="K29" s="126">
        <v>76</v>
      </c>
      <c r="L29" s="126">
        <v>76</v>
      </c>
    </row>
    <row r="30" spans="1:12">
      <c r="A30" s="127" t="s">
        <v>40</v>
      </c>
      <c r="B30" s="127" t="s">
        <v>103</v>
      </c>
      <c r="C30" s="127" t="s">
        <v>89</v>
      </c>
      <c r="D30" s="126">
        <v>1</v>
      </c>
      <c r="E30" s="127" t="s">
        <v>102</v>
      </c>
      <c r="F30" s="126">
        <v>0</v>
      </c>
      <c r="G30" s="126">
        <v>1</v>
      </c>
      <c r="H30" s="126">
        <v>63</v>
      </c>
      <c r="I30" s="126">
        <v>0</v>
      </c>
      <c r="J30" s="126">
        <v>64</v>
      </c>
      <c r="K30" s="126">
        <v>63</v>
      </c>
      <c r="L30" s="126">
        <v>63</v>
      </c>
    </row>
    <row r="31" spans="1:12">
      <c r="A31" s="127" t="s">
        <v>40</v>
      </c>
      <c r="B31" s="127" t="s">
        <v>103</v>
      </c>
      <c r="C31" s="127" t="s">
        <v>89</v>
      </c>
      <c r="D31" s="126">
        <v>1</v>
      </c>
      <c r="E31" s="127" t="s">
        <v>100</v>
      </c>
      <c r="F31" s="126">
        <v>0</v>
      </c>
      <c r="G31" s="126">
        <v>16</v>
      </c>
      <c r="H31" s="126">
        <v>120</v>
      </c>
      <c r="I31" s="126">
        <v>0</v>
      </c>
      <c r="J31" s="126">
        <v>136</v>
      </c>
      <c r="K31" s="126">
        <v>120</v>
      </c>
      <c r="L31" s="126">
        <v>120</v>
      </c>
    </row>
    <row r="32" spans="1:12">
      <c r="A32" s="127" t="s">
        <v>52</v>
      </c>
      <c r="B32" s="127" t="s">
        <v>101</v>
      </c>
      <c r="C32" s="127" t="s">
        <v>84</v>
      </c>
      <c r="D32" s="126">
        <v>1.2</v>
      </c>
      <c r="E32" s="127" t="s">
        <v>102</v>
      </c>
      <c r="F32" s="126">
        <v>0</v>
      </c>
      <c r="G32" s="126">
        <v>3</v>
      </c>
      <c r="H32" s="126">
        <v>234</v>
      </c>
      <c r="I32" s="126">
        <v>2</v>
      </c>
      <c r="J32" s="126">
        <v>239</v>
      </c>
      <c r="K32" s="126">
        <v>235</v>
      </c>
      <c r="L32" s="126">
        <v>282</v>
      </c>
    </row>
    <row r="33" spans="1:15">
      <c r="A33" s="127" t="s">
        <v>52</v>
      </c>
      <c r="B33" s="127" t="s">
        <v>101</v>
      </c>
      <c r="C33" s="127" t="s">
        <v>84</v>
      </c>
      <c r="D33" s="126">
        <v>1.2</v>
      </c>
      <c r="E33" s="127" t="s">
        <v>100</v>
      </c>
      <c r="F33" s="126">
        <v>0</v>
      </c>
      <c r="G33" s="126">
        <v>60</v>
      </c>
      <c r="H33" s="126">
        <v>325</v>
      </c>
      <c r="I33" s="126">
        <v>6</v>
      </c>
      <c r="J33" s="126">
        <v>391</v>
      </c>
      <c r="K33" s="126">
        <v>328</v>
      </c>
      <c r="L33" s="126">
        <v>393.6</v>
      </c>
    </row>
    <row r="34" spans="1:15">
      <c r="A34" s="127" t="s">
        <v>39</v>
      </c>
      <c r="B34" s="127" t="s">
        <v>99</v>
      </c>
      <c r="C34" s="127" t="s">
        <v>98</v>
      </c>
      <c r="D34" s="126">
        <v>1</v>
      </c>
      <c r="E34" s="127" t="s">
        <v>86</v>
      </c>
      <c r="F34" s="126">
        <v>0</v>
      </c>
      <c r="G34" s="126">
        <v>0</v>
      </c>
      <c r="H34" s="126">
        <v>16</v>
      </c>
      <c r="I34" s="126">
        <v>0</v>
      </c>
      <c r="J34" s="126">
        <v>16</v>
      </c>
      <c r="K34" s="126">
        <v>16</v>
      </c>
      <c r="L34" s="126">
        <v>16</v>
      </c>
    </row>
    <row r="35" spans="1:15">
      <c r="A35" s="127" t="s">
        <v>39</v>
      </c>
      <c r="B35" s="127" t="s">
        <v>99</v>
      </c>
      <c r="C35" s="127" t="s">
        <v>98</v>
      </c>
      <c r="D35" s="126">
        <v>1</v>
      </c>
      <c r="E35" s="127" t="s">
        <v>83</v>
      </c>
      <c r="F35" s="126">
        <v>0</v>
      </c>
      <c r="G35" s="126">
        <v>25</v>
      </c>
      <c r="H35" s="126">
        <v>33</v>
      </c>
      <c r="I35" s="126">
        <v>0</v>
      </c>
      <c r="J35" s="126">
        <v>58</v>
      </c>
      <c r="K35" s="126">
        <v>33</v>
      </c>
      <c r="L35" s="126">
        <v>33</v>
      </c>
    </row>
    <row r="36" spans="1:15">
      <c r="A36" s="465" t="s">
        <v>97</v>
      </c>
      <c r="B36" s="465" t="s">
        <v>96</v>
      </c>
      <c r="C36" s="465" t="s">
        <v>95</v>
      </c>
      <c r="D36" s="466">
        <v>1</v>
      </c>
      <c r="E36" s="465" t="s">
        <v>86</v>
      </c>
      <c r="F36" s="466">
        <v>0</v>
      </c>
      <c r="G36" s="466">
        <v>1</v>
      </c>
      <c r="H36" s="466">
        <v>31</v>
      </c>
      <c r="I36" s="466">
        <v>0</v>
      </c>
      <c r="J36" s="466">
        <v>32</v>
      </c>
      <c r="K36" s="466">
        <v>31</v>
      </c>
      <c r="L36" s="466">
        <v>31</v>
      </c>
      <c r="O36" s="106" t="s">
        <v>524</v>
      </c>
    </row>
    <row r="37" spans="1:15">
      <c r="A37" s="465" t="s">
        <v>97</v>
      </c>
      <c r="B37" s="465" t="s">
        <v>96</v>
      </c>
      <c r="C37" s="465" t="s">
        <v>95</v>
      </c>
      <c r="D37" s="466">
        <v>1</v>
      </c>
      <c r="E37" s="465" t="s">
        <v>83</v>
      </c>
      <c r="F37" s="466">
        <v>0</v>
      </c>
      <c r="G37" s="466">
        <v>27</v>
      </c>
      <c r="H37" s="466">
        <v>57</v>
      </c>
      <c r="I37" s="466">
        <v>0</v>
      </c>
      <c r="J37" s="466">
        <v>84</v>
      </c>
      <c r="K37" s="466">
        <v>57</v>
      </c>
      <c r="L37" s="466">
        <v>57</v>
      </c>
    </row>
    <row r="38" spans="1:15">
      <c r="A38" s="127" t="s">
        <v>42</v>
      </c>
      <c r="B38" s="127" t="s">
        <v>94</v>
      </c>
      <c r="C38" s="127" t="s">
        <v>93</v>
      </c>
      <c r="D38" s="126">
        <v>1</v>
      </c>
      <c r="E38" s="127" t="s">
        <v>86</v>
      </c>
      <c r="F38" s="126">
        <v>0</v>
      </c>
      <c r="G38" s="126">
        <v>0</v>
      </c>
      <c r="H38" s="126">
        <v>6</v>
      </c>
      <c r="I38" s="126">
        <v>0</v>
      </c>
      <c r="J38" s="126">
        <v>6</v>
      </c>
      <c r="K38" s="126">
        <v>6</v>
      </c>
      <c r="L38" s="126">
        <v>6</v>
      </c>
    </row>
    <row r="39" spans="1:15">
      <c r="A39" s="127" t="s">
        <v>42</v>
      </c>
      <c r="B39" s="127" t="s">
        <v>94</v>
      </c>
      <c r="C39" s="127" t="s">
        <v>93</v>
      </c>
      <c r="D39" s="126">
        <v>1</v>
      </c>
      <c r="E39" s="127" t="s">
        <v>83</v>
      </c>
      <c r="F39" s="126">
        <v>0</v>
      </c>
      <c r="G39" s="126">
        <v>8</v>
      </c>
      <c r="H39" s="126">
        <v>32</v>
      </c>
      <c r="I39" s="126">
        <v>0</v>
      </c>
      <c r="J39" s="126">
        <v>40</v>
      </c>
      <c r="K39" s="126">
        <v>32</v>
      </c>
      <c r="L39" s="126">
        <v>32</v>
      </c>
    </row>
    <row r="40" spans="1:15">
      <c r="A40" s="127" t="s">
        <v>41</v>
      </c>
      <c r="B40" s="127" t="s">
        <v>92</v>
      </c>
      <c r="C40" s="127" t="s">
        <v>91</v>
      </c>
      <c r="D40" s="126">
        <v>1</v>
      </c>
      <c r="E40" s="127" t="s">
        <v>86</v>
      </c>
      <c r="F40" s="126">
        <v>0</v>
      </c>
      <c r="G40" s="126">
        <v>0</v>
      </c>
      <c r="H40" s="126">
        <v>4</v>
      </c>
      <c r="I40" s="126">
        <v>0</v>
      </c>
      <c r="J40" s="126">
        <v>4</v>
      </c>
      <c r="K40" s="126">
        <v>4</v>
      </c>
      <c r="L40" s="126">
        <v>4</v>
      </c>
    </row>
    <row r="41" spans="1:15">
      <c r="A41" s="127" t="s">
        <v>41</v>
      </c>
      <c r="B41" s="127" t="s">
        <v>92</v>
      </c>
      <c r="C41" s="127" t="s">
        <v>91</v>
      </c>
      <c r="D41" s="126">
        <v>1</v>
      </c>
      <c r="E41" s="127" t="s">
        <v>83</v>
      </c>
      <c r="F41" s="126">
        <v>0</v>
      </c>
      <c r="G41" s="126">
        <v>14</v>
      </c>
      <c r="H41" s="126">
        <v>27</v>
      </c>
      <c r="I41" s="126">
        <v>1</v>
      </c>
      <c r="J41" s="126">
        <v>42</v>
      </c>
      <c r="K41" s="126">
        <v>27.5</v>
      </c>
      <c r="L41" s="126">
        <v>27.5</v>
      </c>
    </row>
    <row r="42" spans="1:15">
      <c r="A42" s="127" t="s">
        <v>40</v>
      </c>
      <c r="B42" s="127" t="s">
        <v>90</v>
      </c>
      <c r="C42" s="127" t="s">
        <v>89</v>
      </c>
      <c r="D42" s="126">
        <v>1</v>
      </c>
      <c r="E42" s="127" t="s">
        <v>86</v>
      </c>
      <c r="F42" s="126">
        <v>0</v>
      </c>
      <c r="G42" s="126">
        <v>0</v>
      </c>
      <c r="H42" s="126">
        <v>11</v>
      </c>
      <c r="I42" s="126">
        <v>0</v>
      </c>
      <c r="J42" s="126">
        <v>11</v>
      </c>
      <c r="K42" s="126">
        <v>11</v>
      </c>
      <c r="L42" s="126">
        <v>11</v>
      </c>
    </row>
    <row r="43" spans="1:15">
      <c r="A43" s="127" t="s">
        <v>40</v>
      </c>
      <c r="B43" s="127" t="s">
        <v>90</v>
      </c>
      <c r="C43" s="127" t="s">
        <v>89</v>
      </c>
      <c r="D43" s="126">
        <v>1</v>
      </c>
      <c r="E43" s="127" t="s">
        <v>83</v>
      </c>
      <c r="F43" s="126">
        <v>0</v>
      </c>
      <c r="G43" s="126">
        <v>27</v>
      </c>
      <c r="H43" s="126">
        <v>44</v>
      </c>
      <c r="I43" s="126">
        <v>2</v>
      </c>
      <c r="J43" s="126">
        <v>73</v>
      </c>
      <c r="K43" s="126">
        <v>45</v>
      </c>
      <c r="L43" s="126">
        <v>45</v>
      </c>
    </row>
    <row r="44" spans="1:15">
      <c r="A44" s="127" t="s">
        <v>41</v>
      </c>
      <c r="B44" s="127" t="s">
        <v>88</v>
      </c>
      <c r="C44" s="127" t="s">
        <v>87</v>
      </c>
      <c r="D44" s="126">
        <v>1</v>
      </c>
      <c r="E44" s="127" t="s">
        <v>86</v>
      </c>
      <c r="F44" s="126">
        <v>0</v>
      </c>
      <c r="G44" s="126">
        <v>0</v>
      </c>
      <c r="H44" s="126">
        <v>6</v>
      </c>
      <c r="I44" s="126">
        <v>0</v>
      </c>
      <c r="J44" s="126">
        <v>6</v>
      </c>
      <c r="K44" s="126">
        <v>6</v>
      </c>
      <c r="L44" s="126">
        <v>6</v>
      </c>
    </row>
    <row r="45" spans="1:15">
      <c r="A45" s="127" t="s">
        <v>41</v>
      </c>
      <c r="B45" s="127" t="s">
        <v>88</v>
      </c>
      <c r="C45" s="127" t="s">
        <v>87</v>
      </c>
      <c r="D45" s="126">
        <v>1</v>
      </c>
      <c r="E45" s="127" t="s">
        <v>83</v>
      </c>
      <c r="F45" s="126">
        <v>0</v>
      </c>
      <c r="G45" s="126">
        <v>12</v>
      </c>
      <c r="H45" s="126">
        <v>13</v>
      </c>
      <c r="I45" s="126">
        <v>1</v>
      </c>
      <c r="J45" s="126">
        <v>26</v>
      </c>
      <c r="K45" s="126">
        <v>13.5</v>
      </c>
      <c r="L45" s="126">
        <v>13.5</v>
      </c>
    </row>
    <row r="46" spans="1:15">
      <c r="A46" s="127" t="s">
        <v>52</v>
      </c>
      <c r="B46" s="127" t="s">
        <v>85</v>
      </c>
      <c r="C46" s="127" t="s">
        <v>84</v>
      </c>
      <c r="D46" s="126">
        <v>1.2</v>
      </c>
      <c r="E46" s="127" t="s">
        <v>86</v>
      </c>
      <c r="F46" s="126">
        <v>0</v>
      </c>
      <c r="G46" s="126">
        <v>0</v>
      </c>
      <c r="H46" s="126">
        <v>10</v>
      </c>
      <c r="I46" s="126">
        <v>0</v>
      </c>
      <c r="J46" s="126">
        <v>10</v>
      </c>
      <c r="K46" s="126">
        <v>10</v>
      </c>
      <c r="L46" s="126">
        <v>12</v>
      </c>
    </row>
    <row r="47" spans="1:15">
      <c r="A47" s="127" t="s">
        <v>52</v>
      </c>
      <c r="B47" s="127" t="s">
        <v>85</v>
      </c>
      <c r="C47" s="127" t="s">
        <v>84</v>
      </c>
      <c r="D47" s="126">
        <v>1.2</v>
      </c>
      <c r="E47" s="127" t="s">
        <v>83</v>
      </c>
      <c r="F47" s="126">
        <v>0</v>
      </c>
      <c r="G47" s="126">
        <v>8</v>
      </c>
      <c r="H47" s="126">
        <v>31</v>
      </c>
      <c r="I47" s="126">
        <v>0</v>
      </c>
      <c r="J47" s="126">
        <v>39</v>
      </c>
      <c r="K47" s="126">
        <v>31</v>
      </c>
      <c r="L47" s="126">
        <v>37.200000000000003</v>
      </c>
    </row>
  </sheetData>
  <mergeCells count="11">
    <mergeCell ref="A1:L1"/>
    <mergeCell ref="A2:L2"/>
    <mergeCell ref="A3:L3"/>
    <mergeCell ref="A4:L4"/>
    <mergeCell ref="A5:L5"/>
    <mergeCell ref="A6:L6"/>
    <mergeCell ref="A9:L9"/>
    <mergeCell ref="B10:D10"/>
    <mergeCell ref="E10:E11"/>
    <mergeCell ref="F10:L10"/>
    <mergeCell ref="A7:L7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headerFooter>
    <oddHeader>&amp;C&amp;14SIMS_2017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17"/>
  <sheetViews>
    <sheetView showZeros="0" zoomScaleNormal="100" workbookViewId="0">
      <selection activeCell="Y4" sqref="Y4"/>
    </sheetView>
  </sheetViews>
  <sheetFormatPr defaultColWidth="7.140625" defaultRowHeight="12.75" customHeight="1"/>
  <cols>
    <col min="1" max="2" width="7.28515625" style="130" customWidth="1"/>
    <col min="3" max="3" width="7.28515625" style="106" customWidth="1"/>
    <col min="4" max="4" width="45.7109375" style="106" bestFit="1" customWidth="1"/>
    <col min="5" max="5" width="5.7109375" style="106" customWidth="1"/>
    <col min="6" max="15" width="5.7109375" style="129" customWidth="1"/>
    <col min="16" max="17" width="5.7109375" style="128" customWidth="1"/>
    <col min="18" max="19" width="5.7109375" style="129" customWidth="1"/>
    <col min="20" max="21" width="5.7109375" style="128" customWidth="1"/>
    <col min="22" max="16384" width="7.140625" style="106"/>
  </cols>
  <sheetData>
    <row r="1" spans="1:21" ht="9" customHeight="1">
      <c r="P1" s="131"/>
      <c r="Q1" s="131"/>
      <c r="T1" s="131"/>
      <c r="U1" s="131"/>
    </row>
    <row r="2" spans="1:21" ht="9" customHeight="1">
      <c r="P2" s="131"/>
      <c r="Q2" s="131"/>
      <c r="T2" s="131"/>
      <c r="U2" s="131"/>
    </row>
    <row r="3" spans="1:21" ht="12.75" customHeight="1">
      <c r="A3" s="691" t="s">
        <v>143</v>
      </c>
      <c r="B3" s="691"/>
      <c r="C3" s="691"/>
      <c r="D3" s="691"/>
      <c r="L3" s="106"/>
      <c r="P3" s="131"/>
      <c r="Q3" s="131"/>
      <c r="T3" s="131"/>
      <c r="U3" s="131"/>
    </row>
    <row r="4" spans="1:21" ht="28.9" customHeight="1">
      <c r="F4" s="692" t="s">
        <v>142</v>
      </c>
      <c r="G4" s="692"/>
      <c r="H4" s="692"/>
      <c r="I4" s="692"/>
      <c r="J4" s="692" t="s">
        <v>141</v>
      </c>
      <c r="K4" s="692"/>
      <c r="L4" s="692"/>
      <c r="M4" s="134" t="s">
        <v>0</v>
      </c>
      <c r="N4" s="692" t="s">
        <v>140</v>
      </c>
      <c r="O4" s="692"/>
      <c r="P4" s="692"/>
      <c r="Q4" s="134" t="s">
        <v>0</v>
      </c>
      <c r="R4" s="692" t="s">
        <v>139</v>
      </c>
      <c r="S4" s="692"/>
      <c r="T4" s="692"/>
      <c r="U4" s="134" t="s">
        <v>0</v>
      </c>
    </row>
    <row r="5" spans="1:21" ht="13.9" customHeight="1">
      <c r="A5" s="691" t="s">
        <v>138</v>
      </c>
      <c r="B5" s="691"/>
      <c r="C5" s="691"/>
      <c r="D5" s="691"/>
      <c r="E5" s="691"/>
      <c r="F5" s="133" t="s">
        <v>137</v>
      </c>
      <c r="G5" s="133" t="s">
        <v>135</v>
      </c>
      <c r="H5" s="133" t="s">
        <v>134</v>
      </c>
      <c r="I5" s="133" t="s">
        <v>0</v>
      </c>
      <c r="J5" s="133" t="s">
        <v>137</v>
      </c>
      <c r="K5" s="133" t="s">
        <v>135</v>
      </c>
      <c r="L5" s="133" t="s">
        <v>134</v>
      </c>
      <c r="M5" s="133" t="s">
        <v>0</v>
      </c>
      <c r="N5" s="133" t="s">
        <v>137</v>
      </c>
      <c r="O5" s="133" t="s">
        <v>135</v>
      </c>
      <c r="P5" s="133" t="s">
        <v>134</v>
      </c>
      <c r="Q5" s="133" t="s">
        <v>0</v>
      </c>
      <c r="R5" s="133" t="s">
        <v>137</v>
      </c>
      <c r="S5" s="133" t="s">
        <v>135</v>
      </c>
      <c r="T5" s="133" t="s">
        <v>134</v>
      </c>
      <c r="U5" s="133" t="s">
        <v>0</v>
      </c>
    </row>
    <row r="6" spans="1:21" ht="10.15" customHeight="1">
      <c r="A6" s="130" t="s">
        <v>39</v>
      </c>
      <c r="B6" s="130" t="s">
        <v>131</v>
      </c>
      <c r="C6" s="106" t="s">
        <v>114</v>
      </c>
      <c r="D6" s="106" t="s">
        <v>98</v>
      </c>
      <c r="E6" s="106">
        <v>1</v>
      </c>
      <c r="F6" s="106">
        <v>28</v>
      </c>
      <c r="G6" s="106"/>
      <c r="H6" s="106"/>
      <c r="I6" s="106">
        <v>28</v>
      </c>
      <c r="J6" s="131">
        <f>F6*IF(MID($C6,1,1)="P",VČ_A_přehled!$E$17,VČ_A_přehled!$E$16)</f>
        <v>14</v>
      </c>
      <c r="K6" s="131">
        <f>G6*IF(MID($C6,1,1)="P",VČ_A_přehled!$E$17,VČ_A_přehled!$E$16)</f>
        <v>0</v>
      </c>
      <c r="L6" s="131">
        <f>H6*IF(MID($C6,1,1)="P",VČ_A_přehled!$E$17,VČ_A_přehled!$E$16)</f>
        <v>0</v>
      </c>
      <c r="M6" s="131">
        <f t="shared" ref="M6:M15" si="0">SUM(J6:L6)</f>
        <v>14</v>
      </c>
      <c r="N6" s="131">
        <f t="shared" ref="N6:N15" si="1">$E6*J6</f>
        <v>14</v>
      </c>
      <c r="O6" s="131">
        <f t="shared" ref="O6:O15" si="2">$E6*K6</f>
        <v>0</v>
      </c>
      <c r="P6" s="131">
        <f t="shared" ref="P6:P15" si="3">$E6*L6</f>
        <v>0</v>
      </c>
      <c r="Q6" s="131">
        <f t="shared" ref="Q6:Q15" si="4">SUM(N6:P6)</f>
        <v>14</v>
      </c>
      <c r="R6" s="131">
        <f>N6*VČ_A_přehled!$E$12</f>
        <v>14</v>
      </c>
      <c r="S6" s="131">
        <f>O6*VČ_A_přehled!$E$14</f>
        <v>0</v>
      </c>
      <c r="T6" s="131">
        <f>P6*VČ_A_přehled!$E$15</f>
        <v>0</v>
      </c>
      <c r="U6" s="131">
        <f t="shared" ref="U6:U15" si="5">SUM(R6:T6)</f>
        <v>14</v>
      </c>
    </row>
    <row r="7" spans="1:21" ht="9" customHeight="1">
      <c r="A7" s="130" t="s">
        <v>39</v>
      </c>
      <c r="B7" s="130" t="s">
        <v>131</v>
      </c>
      <c r="C7" s="106" t="s">
        <v>106</v>
      </c>
      <c r="D7" s="106" t="s">
        <v>98</v>
      </c>
      <c r="E7" s="106">
        <v>1</v>
      </c>
      <c r="F7" s="106"/>
      <c r="G7" s="106">
        <v>42</v>
      </c>
      <c r="H7" s="106"/>
      <c r="I7" s="106">
        <v>42</v>
      </c>
      <c r="J7" s="131">
        <f>F7*IF(MID($C7,1,1)="P",VČ_A_přehled!$E$17,VČ_A_přehled!$E$16)</f>
        <v>0</v>
      </c>
      <c r="K7" s="131">
        <f>G7*IF(MID($C7,1,1)="P",VČ_A_přehled!$E$17,VČ_A_přehled!$E$16)</f>
        <v>21</v>
      </c>
      <c r="L7" s="131">
        <f>H7*IF(MID($C7,1,1)="P",VČ_A_přehled!$E$17,VČ_A_přehled!$E$16)</f>
        <v>0</v>
      </c>
      <c r="M7" s="131">
        <f t="shared" si="0"/>
        <v>21</v>
      </c>
      <c r="N7" s="131">
        <f t="shared" si="1"/>
        <v>0</v>
      </c>
      <c r="O7" s="131">
        <f t="shared" si="2"/>
        <v>21</v>
      </c>
      <c r="P7" s="131">
        <f t="shared" si="3"/>
        <v>0</v>
      </c>
      <c r="Q7" s="131">
        <f t="shared" si="4"/>
        <v>21</v>
      </c>
      <c r="R7" s="131">
        <f>N7*VČ_A_přehled!$E$12</f>
        <v>0</v>
      </c>
      <c r="S7" s="131">
        <f>O7*VČ_A_přehled!$E$14</f>
        <v>22.05</v>
      </c>
      <c r="T7" s="131">
        <f>P7*VČ_A_přehled!$E$15</f>
        <v>0</v>
      </c>
      <c r="U7" s="131">
        <f t="shared" si="5"/>
        <v>22.05</v>
      </c>
    </row>
    <row r="8" spans="1:21" ht="9" customHeight="1">
      <c r="A8" s="130" t="s">
        <v>42</v>
      </c>
      <c r="B8" s="130" t="s">
        <v>131</v>
      </c>
      <c r="C8" s="106" t="s">
        <v>105</v>
      </c>
      <c r="D8" s="106" t="s">
        <v>93</v>
      </c>
      <c r="E8" s="106">
        <v>1</v>
      </c>
      <c r="F8" s="106"/>
      <c r="G8" s="106">
        <v>183</v>
      </c>
      <c r="H8" s="106"/>
      <c r="I8" s="106">
        <v>183</v>
      </c>
      <c r="J8" s="131">
        <f>F8*IF(MID($C8,1,1)="P",VČ_A_přehled!$E$17,VČ_A_přehled!$E$16)</f>
        <v>0</v>
      </c>
      <c r="K8" s="131">
        <f>G8*IF(MID($C8,1,1)="P",VČ_A_přehled!$E$17,VČ_A_přehled!$E$16)</f>
        <v>91.5</v>
      </c>
      <c r="L8" s="131">
        <f>H8*IF(MID($C8,1,1)="P",VČ_A_přehled!$E$17,VČ_A_přehled!$E$16)</f>
        <v>0</v>
      </c>
      <c r="M8" s="131">
        <f t="shared" si="0"/>
        <v>91.5</v>
      </c>
      <c r="N8" s="131">
        <f t="shared" si="1"/>
        <v>0</v>
      </c>
      <c r="O8" s="131">
        <f t="shared" si="2"/>
        <v>91.5</v>
      </c>
      <c r="P8" s="131">
        <f t="shared" si="3"/>
        <v>0</v>
      </c>
      <c r="Q8" s="131">
        <f t="shared" si="4"/>
        <v>91.5</v>
      </c>
      <c r="R8" s="131">
        <f>N8*VČ_A_přehled!$E$12</f>
        <v>0</v>
      </c>
      <c r="S8" s="131">
        <f>O8*VČ_A_přehled!$E$14</f>
        <v>96.075000000000003</v>
      </c>
      <c r="T8" s="131">
        <f>P8*VČ_A_přehled!$E$15</f>
        <v>0</v>
      </c>
      <c r="U8" s="131">
        <f t="shared" si="5"/>
        <v>96.075000000000003</v>
      </c>
    </row>
    <row r="9" spans="1:21" ht="9" customHeight="1">
      <c r="A9" s="130" t="s">
        <v>41</v>
      </c>
      <c r="B9" s="130" t="s">
        <v>131</v>
      </c>
      <c r="C9" s="106" t="s">
        <v>104</v>
      </c>
      <c r="D9" s="106" t="s">
        <v>91</v>
      </c>
      <c r="E9" s="106">
        <v>1</v>
      </c>
      <c r="F9" s="106"/>
      <c r="G9" s="106">
        <v>47</v>
      </c>
      <c r="H9" s="106"/>
      <c r="I9" s="106">
        <v>47</v>
      </c>
      <c r="J9" s="131">
        <f>F9*IF(MID($C9,1,1)="P",VČ_A_přehled!$E$17,VČ_A_přehled!$E$16)</f>
        <v>0</v>
      </c>
      <c r="K9" s="131">
        <f>G9*IF(MID($C9,1,1)="P",VČ_A_přehled!$E$17,VČ_A_přehled!$E$16)</f>
        <v>23.5</v>
      </c>
      <c r="L9" s="131">
        <f>H9*IF(MID($C9,1,1)="P",VČ_A_přehled!$E$17,VČ_A_přehled!$E$16)</f>
        <v>0</v>
      </c>
      <c r="M9" s="131">
        <f t="shared" si="0"/>
        <v>23.5</v>
      </c>
      <c r="N9" s="131">
        <f t="shared" si="1"/>
        <v>0</v>
      </c>
      <c r="O9" s="131">
        <f t="shared" si="2"/>
        <v>23.5</v>
      </c>
      <c r="P9" s="131">
        <f t="shared" si="3"/>
        <v>0</v>
      </c>
      <c r="Q9" s="131">
        <f t="shared" si="4"/>
        <v>23.5</v>
      </c>
      <c r="R9" s="131">
        <f>N9*VČ_A_přehled!$E$12</f>
        <v>0</v>
      </c>
      <c r="S9" s="131">
        <f>O9*VČ_A_přehled!$E$14</f>
        <v>24.675000000000001</v>
      </c>
      <c r="T9" s="131">
        <f>P9*VČ_A_přehled!$E$15</f>
        <v>0</v>
      </c>
      <c r="U9" s="131">
        <f t="shared" si="5"/>
        <v>24.675000000000001</v>
      </c>
    </row>
    <row r="10" spans="1:21" ht="9" customHeight="1">
      <c r="A10" s="130" t="s">
        <v>40</v>
      </c>
      <c r="B10" s="130" t="s">
        <v>131</v>
      </c>
      <c r="C10" s="106" t="s">
        <v>103</v>
      </c>
      <c r="D10" s="106" t="s">
        <v>89</v>
      </c>
      <c r="E10" s="106">
        <v>1</v>
      </c>
      <c r="F10" s="106"/>
      <c r="G10" s="106">
        <v>18</v>
      </c>
      <c r="H10" s="106"/>
      <c r="I10" s="106">
        <v>18</v>
      </c>
      <c r="J10" s="131">
        <f>F10*IF(MID($C10,1,1)="P",VČ_A_přehled!$E$17,VČ_A_přehled!$E$16)</f>
        <v>0</v>
      </c>
      <c r="K10" s="131">
        <f>G10*IF(MID($C10,1,1)="P",VČ_A_přehled!$E$17,VČ_A_přehled!$E$16)</f>
        <v>9</v>
      </c>
      <c r="L10" s="131">
        <f>H10*IF(MID($C10,1,1)="P",VČ_A_přehled!$E$17,VČ_A_přehled!$E$16)</f>
        <v>0</v>
      </c>
      <c r="M10" s="131">
        <f t="shared" si="0"/>
        <v>9</v>
      </c>
      <c r="N10" s="131">
        <f t="shared" si="1"/>
        <v>0</v>
      </c>
      <c r="O10" s="131">
        <f t="shared" si="2"/>
        <v>9</v>
      </c>
      <c r="P10" s="131">
        <f t="shared" si="3"/>
        <v>0</v>
      </c>
      <c r="Q10" s="131">
        <f t="shared" si="4"/>
        <v>9</v>
      </c>
      <c r="R10" s="131">
        <f>N10*VČ_A_přehled!$E$12</f>
        <v>0</v>
      </c>
      <c r="S10" s="131">
        <f>O10*VČ_A_přehled!$E$14</f>
        <v>9.4500000000000011</v>
      </c>
      <c r="T10" s="131">
        <f>P10*VČ_A_přehled!$E$15</f>
        <v>0</v>
      </c>
      <c r="U10" s="131">
        <f t="shared" si="5"/>
        <v>9.4500000000000011</v>
      </c>
    </row>
    <row r="11" spans="1:21" ht="9" customHeight="1">
      <c r="A11" s="130" t="s">
        <v>42</v>
      </c>
      <c r="B11" s="130" t="s">
        <v>131</v>
      </c>
      <c r="C11" s="106" t="s">
        <v>133</v>
      </c>
      <c r="D11" s="106" t="s">
        <v>132</v>
      </c>
      <c r="E11" s="106">
        <v>1</v>
      </c>
      <c r="F11" s="106"/>
      <c r="G11" s="106">
        <v>41</v>
      </c>
      <c r="H11" s="106"/>
      <c r="I11" s="106">
        <v>41</v>
      </c>
      <c r="J11" s="131">
        <f>F11*IF(MID($C11,1,1)="P",VČ_A_přehled!$E$17,VČ_A_přehled!$E$16)</f>
        <v>0</v>
      </c>
      <c r="K11" s="131">
        <f>G11*IF(MID($C11,1,1)="P",VČ_A_přehled!$E$17,VČ_A_přehled!$E$16)</f>
        <v>20.5</v>
      </c>
      <c r="L11" s="131">
        <f>H11*IF(MID($C11,1,1)="P",VČ_A_přehled!$E$17,VČ_A_přehled!$E$16)</f>
        <v>0</v>
      </c>
      <c r="M11" s="131">
        <f t="shared" si="0"/>
        <v>20.5</v>
      </c>
      <c r="N11" s="131">
        <f t="shared" si="1"/>
        <v>0</v>
      </c>
      <c r="O11" s="131">
        <f t="shared" si="2"/>
        <v>20.5</v>
      </c>
      <c r="P11" s="131">
        <f t="shared" si="3"/>
        <v>0</v>
      </c>
      <c r="Q11" s="131">
        <f t="shared" si="4"/>
        <v>20.5</v>
      </c>
      <c r="R11" s="131">
        <f>N11*VČ_A_přehled!$E$12</f>
        <v>0</v>
      </c>
      <c r="S11" s="131">
        <f>O11*VČ_A_přehled!$E$14</f>
        <v>21.525000000000002</v>
      </c>
      <c r="T11" s="131">
        <f>P11*VČ_A_přehled!$E$15</f>
        <v>0</v>
      </c>
      <c r="U11" s="131">
        <f t="shared" si="5"/>
        <v>21.525000000000002</v>
      </c>
    </row>
    <row r="12" spans="1:21" ht="9" customHeight="1">
      <c r="A12" s="130" t="s">
        <v>39</v>
      </c>
      <c r="B12" s="130" t="s">
        <v>131</v>
      </c>
      <c r="C12" s="106" t="s">
        <v>99</v>
      </c>
      <c r="D12" s="106" t="s">
        <v>98</v>
      </c>
      <c r="E12" s="106">
        <v>1</v>
      </c>
      <c r="F12" s="106"/>
      <c r="G12" s="106"/>
      <c r="H12" s="106">
        <v>16</v>
      </c>
      <c r="I12" s="106">
        <v>16</v>
      </c>
      <c r="J12" s="131">
        <f>F12*IF(MID($C12,1,1)="P",VČ_A_přehled!$E$17,VČ_A_přehled!$E$16)</f>
        <v>0</v>
      </c>
      <c r="K12" s="131">
        <f>G12*IF(MID($C12,1,1)="P",VČ_A_přehled!$E$17,VČ_A_přehled!$E$16)</f>
        <v>0</v>
      </c>
      <c r="L12" s="131">
        <f>H12*IF(MID($C12,1,1)="P",VČ_A_přehled!$E$17,VČ_A_přehled!$E$16)</f>
        <v>16</v>
      </c>
      <c r="M12" s="131">
        <f t="shared" si="0"/>
        <v>16</v>
      </c>
      <c r="N12" s="131">
        <f t="shared" si="1"/>
        <v>0</v>
      </c>
      <c r="O12" s="131">
        <f t="shared" si="2"/>
        <v>0</v>
      </c>
      <c r="P12" s="131">
        <f t="shared" si="3"/>
        <v>16</v>
      </c>
      <c r="Q12" s="131">
        <f t="shared" si="4"/>
        <v>16</v>
      </c>
      <c r="R12" s="131">
        <f>N12*VČ_A_přehled!$E$12</f>
        <v>0</v>
      </c>
      <c r="S12" s="131">
        <f>O12*VČ_A_přehled!$E$14</f>
        <v>0</v>
      </c>
      <c r="T12" s="131">
        <f>P12*VČ_A_přehled!$E$15</f>
        <v>21.332799999999999</v>
      </c>
      <c r="U12" s="131">
        <f t="shared" si="5"/>
        <v>21.332799999999999</v>
      </c>
    </row>
    <row r="13" spans="1:21" ht="9" customHeight="1">
      <c r="A13" s="130" t="s">
        <v>42</v>
      </c>
      <c r="B13" s="130" t="s">
        <v>131</v>
      </c>
      <c r="C13" s="106" t="s">
        <v>94</v>
      </c>
      <c r="D13" s="106" t="s">
        <v>93</v>
      </c>
      <c r="E13" s="106">
        <v>1</v>
      </c>
      <c r="F13" s="106"/>
      <c r="G13" s="106"/>
      <c r="H13" s="106">
        <v>6</v>
      </c>
      <c r="I13" s="106">
        <v>6</v>
      </c>
      <c r="J13" s="131">
        <f>F13*IF(MID($C13,1,1)="P",VČ_A_přehled!$E$17,VČ_A_přehled!$E$16)</f>
        <v>0</v>
      </c>
      <c r="K13" s="131">
        <f>G13*IF(MID($C13,1,1)="P",VČ_A_přehled!$E$17,VČ_A_přehled!$E$16)</f>
        <v>0</v>
      </c>
      <c r="L13" s="131">
        <f>H13*IF(MID($C13,1,1)="P",VČ_A_přehled!$E$17,VČ_A_přehled!$E$16)</f>
        <v>6</v>
      </c>
      <c r="M13" s="131">
        <f t="shared" si="0"/>
        <v>6</v>
      </c>
      <c r="N13" s="131">
        <f t="shared" si="1"/>
        <v>0</v>
      </c>
      <c r="O13" s="131">
        <f t="shared" si="2"/>
        <v>0</v>
      </c>
      <c r="P13" s="131">
        <f t="shared" si="3"/>
        <v>6</v>
      </c>
      <c r="Q13" s="131">
        <f t="shared" si="4"/>
        <v>6</v>
      </c>
      <c r="R13" s="131">
        <f>N13*VČ_A_přehled!$E$12</f>
        <v>0</v>
      </c>
      <c r="S13" s="131">
        <f>O13*VČ_A_přehled!$E$14</f>
        <v>0</v>
      </c>
      <c r="T13" s="131">
        <f>P13*VČ_A_přehled!$E$15</f>
        <v>7.9997999999999996</v>
      </c>
      <c r="U13" s="131">
        <f t="shared" si="5"/>
        <v>7.9997999999999996</v>
      </c>
    </row>
    <row r="14" spans="1:21" ht="9" customHeight="1">
      <c r="A14" s="130" t="s">
        <v>40</v>
      </c>
      <c r="B14" s="130" t="s">
        <v>131</v>
      </c>
      <c r="C14" s="106" t="s">
        <v>90</v>
      </c>
      <c r="D14" s="106" t="s">
        <v>89</v>
      </c>
      <c r="E14" s="106">
        <v>1</v>
      </c>
      <c r="F14" s="106"/>
      <c r="G14" s="106"/>
      <c r="H14" s="106">
        <v>12</v>
      </c>
      <c r="I14" s="106">
        <v>12</v>
      </c>
      <c r="J14" s="131">
        <f>F14*IF(MID($C14,1,1)="P",VČ_A_přehled!$E$17,VČ_A_přehled!$E$16)</f>
        <v>0</v>
      </c>
      <c r="K14" s="131">
        <f>G14*IF(MID($C14,1,1)="P",VČ_A_přehled!$E$17,VČ_A_přehled!$E$16)</f>
        <v>0</v>
      </c>
      <c r="L14" s="131">
        <f>H14*IF(MID($C14,1,1)="P",VČ_A_přehled!$E$17,VČ_A_přehled!$E$16)</f>
        <v>12</v>
      </c>
      <c r="M14" s="131">
        <f t="shared" si="0"/>
        <v>12</v>
      </c>
      <c r="N14" s="131">
        <f t="shared" si="1"/>
        <v>0</v>
      </c>
      <c r="O14" s="131">
        <f t="shared" si="2"/>
        <v>0</v>
      </c>
      <c r="P14" s="131">
        <f t="shared" si="3"/>
        <v>12</v>
      </c>
      <c r="Q14" s="131">
        <f t="shared" si="4"/>
        <v>12</v>
      </c>
      <c r="R14" s="131">
        <f>N14*VČ_A_přehled!$E$12</f>
        <v>0</v>
      </c>
      <c r="S14" s="131">
        <f>O14*VČ_A_přehled!$E$14</f>
        <v>0</v>
      </c>
      <c r="T14" s="131">
        <f>P14*VČ_A_přehled!$E$15</f>
        <v>15.999599999999999</v>
      </c>
      <c r="U14" s="131">
        <f t="shared" si="5"/>
        <v>15.999599999999999</v>
      </c>
    </row>
    <row r="15" spans="1:21" ht="9" customHeight="1">
      <c r="F15" s="132"/>
      <c r="G15" s="132"/>
      <c r="H15" s="132"/>
      <c r="I15" s="132"/>
      <c r="J15" s="131">
        <f>F15*IF(MID($C15,1,1)="P",VČ_A_přehled!$E$17,VČ_A_přehled!$E$16)</f>
        <v>0</v>
      </c>
      <c r="K15" s="131">
        <f>G15*IF(MID($C15,1,1)="P",VČ_A_přehled!$E$17,VČ_A_přehled!$E$16)</f>
        <v>0</v>
      </c>
      <c r="L15" s="131">
        <f>H15*IF(MID($C15,1,1)="P",VČ_A_přehled!$E$17,VČ_A_přehled!$E$16)</f>
        <v>0</v>
      </c>
      <c r="M15" s="131">
        <f t="shared" si="0"/>
        <v>0</v>
      </c>
      <c r="N15" s="131">
        <f t="shared" si="1"/>
        <v>0</v>
      </c>
      <c r="O15" s="131">
        <f t="shared" si="2"/>
        <v>0</v>
      </c>
      <c r="P15" s="131">
        <f t="shared" si="3"/>
        <v>0</v>
      </c>
      <c r="Q15" s="131">
        <f t="shared" si="4"/>
        <v>0</v>
      </c>
      <c r="R15" s="131">
        <f>N15*VČ_A_přehled!$E$12</f>
        <v>0</v>
      </c>
      <c r="S15" s="131">
        <f>O15*VČ_A_přehled!$E$14</f>
        <v>0</v>
      </c>
      <c r="T15" s="131">
        <f>P15*VČ_A_přehled!$E$15</f>
        <v>0</v>
      </c>
      <c r="U15" s="131">
        <f t="shared" si="5"/>
        <v>0</v>
      </c>
    </row>
    <row r="16" spans="1:21" ht="9" customHeight="1">
      <c r="A16" s="691" t="s">
        <v>0</v>
      </c>
      <c r="B16" s="691"/>
      <c r="C16" s="691"/>
      <c r="D16" s="691"/>
      <c r="E16" s="691"/>
      <c r="F16" s="132">
        <f t="shared" ref="F16:U16" si="6">SUM(F6:F15)</f>
        <v>28</v>
      </c>
      <c r="G16" s="132">
        <f t="shared" si="6"/>
        <v>331</v>
      </c>
      <c r="H16" s="132">
        <f t="shared" si="6"/>
        <v>34</v>
      </c>
      <c r="I16" s="132">
        <f t="shared" si="6"/>
        <v>393</v>
      </c>
      <c r="J16" s="131">
        <f t="shared" si="6"/>
        <v>14</v>
      </c>
      <c r="K16" s="131">
        <f t="shared" si="6"/>
        <v>165.5</v>
      </c>
      <c r="L16" s="131">
        <f t="shared" si="6"/>
        <v>34</v>
      </c>
      <c r="M16" s="131">
        <f t="shared" si="6"/>
        <v>213.5</v>
      </c>
      <c r="N16" s="131">
        <f t="shared" si="6"/>
        <v>14</v>
      </c>
      <c r="O16" s="131">
        <f t="shared" si="6"/>
        <v>165.5</v>
      </c>
      <c r="P16" s="131">
        <f t="shared" si="6"/>
        <v>34</v>
      </c>
      <c r="Q16" s="131">
        <f t="shared" si="6"/>
        <v>213.5</v>
      </c>
      <c r="R16" s="131">
        <f t="shared" si="6"/>
        <v>14</v>
      </c>
      <c r="S16" s="131">
        <f t="shared" si="6"/>
        <v>173.77500000000001</v>
      </c>
      <c r="T16" s="131">
        <f t="shared" si="6"/>
        <v>45.3322</v>
      </c>
      <c r="U16" s="131">
        <f t="shared" si="6"/>
        <v>233.10719999999998</v>
      </c>
    </row>
    <row r="17" spans="4:21" ht="9" customHeight="1">
      <c r="D17" s="130"/>
      <c r="P17" s="131"/>
      <c r="Q17" s="131"/>
      <c r="T17" s="131"/>
      <c r="U17" s="131"/>
    </row>
  </sheetData>
  <mergeCells count="7">
    <mergeCell ref="A16:E16"/>
    <mergeCell ref="A3:D3"/>
    <mergeCell ref="F4:I4"/>
    <mergeCell ref="R4:T4"/>
    <mergeCell ref="J4:L4"/>
    <mergeCell ref="N4:P4"/>
    <mergeCell ref="A5:E5"/>
  </mergeCells>
  <pageMargins left="0.31527777777777777" right="0.27569444444444446" top="0.43263888888888891" bottom="0.27569444444444446" header="0.23611111111111113" footer="0.15763888888888888"/>
  <pageSetup paperSize="9" scale="84" firstPageNumber="0" fitToHeight="5" orientation="landscape" horizontalDpi="300" verticalDpi="300" r:id="rId1"/>
  <headerFooter alignWithMargins="0">
    <oddHeader>&amp;RTabulka &amp;A</oddHeader>
    <oddFooter>&amp;C&amp;F&amp;R&amp;P/&amp;N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27"/>
  <sheetViews>
    <sheetView showZeros="0" zoomScaleNormal="100" zoomScalePageLayoutView="40" workbookViewId="0">
      <selection activeCell="B3" sqref="B3"/>
    </sheetView>
  </sheetViews>
  <sheetFormatPr defaultColWidth="9.140625" defaultRowHeight="12.75" customHeight="1"/>
  <cols>
    <col min="1" max="1" width="11.7109375" style="135" customWidth="1"/>
    <col min="2" max="14" width="6" style="135" customWidth="1"/>
    <col min="15" max="15" width="10.42578125" style="135" bestFit="1" customWidth="1"/>
    <col min="16" max="17" width="11.7109375" style="135" bestFit="1" customWidth="1"/>
    <col min="18" max="18" width="6" style="135" customWidth="1"/>
    <col min="19" max="19" width="12.42578125" style="135" customWidth="1"/>
    <col min="20" max="20" width="12.7109375" style="135" customWidth="1"/>
    <col min="21" max="21" width="6.140625" style="135" customWidth="1"/>
    <col min="22" max="22" width="7" style="135" customWidth="1"/>
    <col min="23" max="23" width="6.7109375" style="135" customWidth="1"/>
    <col min="24" max="26" width="11.28515625" style="135" customWidth="1"/>
    <col min="27" max="27" width="6.7109375" style="135" customWidth="1"/>
    <col min="28" max="16384" width="9.140625" style="135"/>
  </cols>
  <sheetData>
    <row r="1" spans="1:21" s="140" customFormat="1" ht="20.65" customHeight="1">
      <c r="A1" s="161"/>
      <c r="B1" s="702" t="s">
        <v>162</v>
      </c>
      <c r="C1" s="702"/>
      <c r="D1" s="702"/>
      <c r="E1" s="702" t="s">
        <v>161</v>
      </c>
      <c r="F1" s="702"/>
      <c r="G1" s="702"/>
      <c r="H1" s="699" t="s">
        <v>160</v>
      </c>
      <c r="I1" s="700"/>
      <c r="J1" s="701"/>
      <c r="K1" s="693" t="s">
        <v>159</v>
      </c>
      <c r="L1" s="693"/>
      <c r="M1" s="693" t="s">
        <v>158</v>
      </c>
      <c r="N1" s="693"/>
      <c r="O1" s="694" t="s">
        <v>157</v>
      </c>
      <c r="P1" s="694"/>
      <c r="Q1" s="695"/>
    </row>
    <row r="2" spans="1:21" s="140" customFormat="1" ht="10.15" customHeight="1">
      <c r="A2" s="157"/>
      <c r="B2" s="160" t="s">
        <v>137</v>
      </c>
      <c r="C2" s="160" t="s">
        <v>135</v>
      </c>
      <c r="D2" s="160" t="s">
        <v>134</v>
      </c>
      <c r="E2" s="160" t="s">
        <v>137</v>
      </c>
      <c r="F2" s="160" t="s">
        <v>135</v>
      </c>
      <c r="G2" s="160" t="s">
        <v>134</v>
      </c>
      <c r="H2" s="160" t="str">
        <f>$B2</f>
        <v>B</v>
      </c>
      <c r="I2" s="160" t="str">
        <f>$C2</f>
        <v>N</v>
      </c>
      <c r="J2" s="160" t="s">
        <v>134</v>
      </c>
      <c r="K2" s="159" t="s">
        <v>156</v>
      </c>
      <c r="L2" s="159" t="s">
        <v>155</v>
      </c>
      <c r="M2" s="159" t="s">
        <v>156</v>
      </c>
      <c r="N2" s="159" t="s">
        <v>155</v>
      </c>
      <c r="O2" s="159" t="s">
        <v>156</v>
      </c>
      <c r="P2" s="159" t="s">
        <v>155</v>
      </c>
      <c r="Q2" s="158" t="s">
        <v>0</v>
      </c>
    </row>
    <row r="3" spans="1:21" s="140" customFormat="1" ht="10.15" customHeight="1">
      <c r="A3" s="157" t="s">
        <v>39</v>
      </c>
      <c r="B3" s="156">
        <f>SUMIFS(VČ_A_data!$K12:$K47,VČ_A_data!$A12:$A47,$A3,VČ_A_data!$E12:$E47,"B*")</f>
        <v>326</v>
      </c>
      <c r="C3" s="156">
        <f>SUMIFS(VČ_A_data!$K12:$K47,VČ_A_data!$A12:$A47,$A3,VČ_A_data!$E12:$E47,"N*")</f>
        <v>150.5</v>
      </c>
      <c r="D3" s="156">
        <f>SUMIFS(VČ_A_data!$K12:$K47,VČ_A_data!$A12:$A47,$A3,VČ_A_data!$E12:$E47,"P*")</f>
        <v>49</v>
      </c>
      <c r="E3" s="156">
        <f>SUMIFS(VČ_A_data!$L12:$L47,VČ_A_data!$A12:$A47,$A3,VČ_A_data!$E12:$E47,"B*")</f>
        <v>326</v>
      </c>
      <c r="F3" s="156">
        <f>SUMIFS(VČ_A_data!$L12:$L47,VČ_A_data!$A12:$A47,$A3,VČ_A_data!$E12:$E47,"N*")</f>
        <v>150.5</v>
      </c>
      <c r="G3" s="156">
        <f>SUMIFS(VČ_A_data!$L12:$L47,VČ_A_data!$A12:$A47,$A3,VČ_A_data!$E12:$E47,"P*")</f>
        <v>49</v>
      </c>
      <c r="H3" s="154">
        <f>$E$12*E3</f>
        <v>326</v>
      </c>
      <c r="I3" s="154">
        <f>$E$14*F3</f>
        <v>158.02500000000001</v>
      </c>
      <c r="J3" s="154">
        <f>$E$15*G3</f>
        <v>65.331699999999998</v>
      </c>
      <c r="K3" s="155">
        <f>SUMIFS(VČ_A_data_cizinci!M$6:M$15,VČ_A_data_cizinci!$A$6:$A$15,VČ_A_přehled!$A3)</f>
        <v>51</v>
      </c>
      <c r="L3" s="155">
        <f>SUMIFS(VČ_A_data_cizinci!U$6:U$15,VČ_A_data_cizinci!$A$6:$A$15,VČ_A_přehled!$A3)</f>
        <v>57.382799999999996</v>
      </c>
      <c r="M3" s="154">
        <f>B3+C3+D3+K3</f>
        <v>576.5</v>
      </c>
      <c r="N3" s="154">
        <f>H3+I3+J3+L3</f>
        <v>606.73949999999991</v>
      </c>
      <c r="O3" s="153">
        <f>E$21*M3/M$8</f>
        <v>936259.96155142586</v>
      </c>
      <c r="P3" s="153">
        <f>E$22*N3/N$8</f>
        <v>8012278.9561507516</v>
      </c>
      <c r="Q3" s="152">
        <f>SUM(O3:P3)</f>
        <v>8948538.9177021775</v>
      </c>
      <c r="R3" s="151" t="s">
        <v>39</v>
      </c>
    </row>
    <row r="4" spans="1:21" s="140" customFormat="1" ht="10.15" customHeight="1">
      <c r="A4" s="157" t="s">
        <v>52</v>
      </c>
      <c r="B4" s="156">
        <f>SUMIFS(VČ_A_data!$K12:$K47,VČ_A_data!$A12:$A47,$A4,VČ_A_data!$E12:$E47,"B*")</f>
        <v>579</v>
      </c>
      <c r="C4" s="156">
        <f>SUMIFS(VČ_A_data!$K12:$K47,VČ_A_data!$A12:$A47,$A4,VČ_A_data!$E12:$E47,"N*")</f>
        <v>563</v>
      </c>
      <c r="D4" s="156">
        <f>SUMIFS(VČ_A_data!$K12:$K47,VČ_A_data!$A12:$A47,$A4,VČ_A_data!$E12:$E47,"P*")</f>
        <v>41</v>
      </c>
      <c r="E4" s="156">
        <f>SUMIFS(VČ_A_data!$L12:$L47,VČ_A_data!$A12:$A47,$A4,VČ_A_data!$E12:$E47,"B*")</f>
        <v>694.8</v>
      </c>
      <c r="F4" s="156">
        <f>SUMIFS(VČ_A_data!$L12:$L47,VČ_A_data!$A12:$A47,$A4,VČ_A_data!$E12:$E47,"N*")</f>
        <v>675.6</v>
      </c>
      <c r="G4" s="156">
        <f>SUMIFS(VČ_A_data!$L12:$L47,VČ_A_data!$A12:$A47,$A4,VČ_A_data!$E12:$E47,"P*")</f>
        <v>49.2</v>
      </c>
      <c r="H4" s="154">
        <f>$E$12*E4</f>
        <v>694.8</v>
      </c>
      <c r="I4" s="154">
        <f>$E$14*F4</f>
        <v>709.38000000000011</v>
      </c>
      <c r="J4" s="154">
        <f>$E$15*G4</f>
        <v>65.59836</v>
      </c>
      <c r="K4" s="155">
        <f>SUMIFS(VČ_A_data_cizinci!M$6:M$15,VČ_A_data_cizinci!$A$6:$A$15,VČ_A_přehled!$A4)</f>
        <v>0</v>
      </c>
      <c r="L4" s="155">
        <f>SUMIFS(VČ_A_data_cizinci!U$6:U$15,VČ_A_data_cizinci!$A$6:$A$15,VČ_A_přehled!$A4)</f>
        <v>0</v>
      </c>
      <c r="M4" s="154">
        <f>B4+C4+D4+K4</f>
        <v>1183</v>
      </c>
      <c r="N4" s="154">
        <f>H4+I4+J4+L4</f>
        <v>1469.77836</v>
      </c>
      <c r="O4" s="153">
        <f>E$21*M4/M$8</f>
        <v>1921241.1700179302</v>
      </c>
      <c r="P4" s="153">
        <f>E$22*N4/N$8</f>
        <v>19409110.868888155</v>
      </c>
      <c r="Q4" s="152">
        <f>SUM(O4:P4)</f>
        <v>21330352.038906086</v>
      </c>
      <c r="R4" s="151" t="s">
        <v>52</v>
      </c>
    </row>
    <row r="5" spans="1:21" s="140" customFormat="1" ht="10.15" customHeight="1">
      <c r="A5" s="157" t="s">
        <v>41</v>
      </c>
      <c r="B5" s="156">
        <f>SUMIFS(VČ_A_data!$K12:$K47,VČ_A_data!$A12:$A47,$A5,VČ_A_data!$E12:$E47,"B*")</f>
        <v>507</v>
      </c>
      <c r="C5" s="156">
        <f>SUMIFS(VČ_A_data!$K12:$K47,VČ_A_data!$A12:$A47,$A5,VČ_A_data!$E12:$E47,"N*")</f>
        <v>150</v>
      </c>
      <c r="D5" s="156">
        <f>SUMIFS(VČ_A_data!$K12:$K47,VČ_A_data!$A12:$A47,$A5,VČ_A_data!$E12:$E47,"P*")</f>
        <v>51</v>
      </c>
      <c r="E5" s="156">
        <f>SUMIFS(VČ_A_data!$L12:$L47,VČ_A_data!$A12:$A47,$A5,VČ_A_data!$E12:$E47,"B*")</f>
        <v>507</v>
      </c>
      <c r="F5" s="156">
        <f>SUMIFS(VČ_A_data!$L12:$L47,VČ_A_data!$A12:$A47,$A5,VČ_A_data!$E12:$E47,"N*")</f>
        <v>150</v>
      </c>
      <c r="G5" s="156">
        <f>SUMIFS(VČ_A_data!$L12:$L47,VČ_A_data!$A12:$A47,$A5,VČ_A_data!$E12:$E47,"P*")</f>
        <v>51</v>
      </c>
      <c r="H5" s="154">
        <f>$E$12*E5</f>
        <v>507</v>
      </c>
      <c r="I5" s="154">
        <f>$E$14*F5</f>
        <v>157.5</v>
      </c>
      <c r="J5" s="154">
        <f>$E$15*G5</f>
        <v>67.9983</v>
      </c>
      <c r="K5" s="155">
        <f>SUMIFS(VČ_A_data_cizinci!M$6:M$15,VČ_A_data_cizinci!$A$6:$A$15,VČ_A_přehled!$A5)</f>
        <v>23.5</v>
      </c>
      <c r="L5" s="155">
        <f>SUMIFS(VČ_A_data_cizinci!U$6:U$15,VČ_A_data_cizinci!$A$6:$A$15,VČ_A_přehled!$A5)</f>
        <v>24.675000000000001</v>
      </c>
      <c r="M5" s="154">
        <f>B5+C5+D5+K5</f>
        <v>731.5</v>
      </c>
      <c r="N5" s="154">
        <f>H5+I5+J5+L5</f>
        <v>757.17329999999993</v>
      </c>
      <c r="O5" s="153">
        <f>E$21*M5/M$8</f>
        <v>1187986.4039459983</v>
      </c>
      <c r="P5" s="153">
        <f>E$22*N5/N$8</f>
        <v>9998827.6645071246</v>
      </c>
      <c r="Q5" s="152">
        <f>SUM(O5:P5)</f>
        <v>11186814.068453122</v>
      </c>
      <c r="R5" s="151" t="s">
        <v>41</v>
      </c>
    </row>
    <row r="6" spans="1:21" s="140" customFormat="1" ht="10.15" customHeight="1">
      <c r="A6" s="157" t="s">
        <v>42</v>
      </c>
      <c r="B6" s="156">
        <f>SUMIFS(VČ_A_data!$K12:$K47,VČ_A_data!$A12:$A47,$A6,VČ_A_data!$E12:$E47,"B*")</f>
        <v>369.5</v>
      </c>
      <c r="C6" s="156">
        <f>SUMIFS(VČ_A_data!$K12:$K47,VČ_A_data!$A12:$A47,$A6,VČ_A_data!$E12:$E47,"N*")</f>
        <v>284</v>
      </c>
      <c r="D6" s="156">
        <f>SUMIFS(VČ_A_data!$K12:$K47,VČ_A_data!$A12:$A47,$A6,VČ_A_data!$E12:$E47,"P*")</f>
        <v>38</v>
      </c>
      <c r="E6" s="156">
        <f>SUMIFS(VČ_A_data!$L12:$L47,VČ_A_data!$A12:$A47,$A6,VČ_A_data!$E12:$E47,"B*")</f>
        <v>369.5</v>
      </c>
      <c r="F6" s="156">
        <f>SUMIFS(VČ_A_data!$L12:$L47,VČ_A_data!$A12:$A47,$A6,VČ_A_data!$E12:$E47,"N*")</f>
        <v>284</v>
      </c>
      <c r="G6" s="156">
        <f>SUMIFS(VČ_A_data!$L12:$L47,VČ_A_data!$A12:$A47,$A6,VČ_A_data!$E12:$E47,"P*")</f>
        <v>38</v>
      </c>
      <c r="H6" s="154">
        <f>$E$12*E6</f>
        <v>369.5</v>
      </c>
      <c r="I6" s="154">
        <f>$E$14*F6</f>
        <v>298.2</v>
      </c>
      <c r="J6" s="154">
        <f>$E$15*G6</f>
        <v>50.665399999999998</v>
      </c>
      <c r="K6" s="155">
        <f>SUMIFS(VČ_A_data_cizinci!M$6:M$15,VČ_A_data_cizinci!$A$6:$A$15,VČ_A_přehled!$A6)</f>
        <v>118</v>
      </c>
      <c r="L6" s="155">
        <f>SUMIFS(VČ_A_data_cizinci!U$6:U$15,VČ_A_data_cizinci!$A$6:$A$15,VČ_A_přehled!$A6)</f>
        <v>125.5998</v>
      </c>
      <c r="M6" s="154">
        <f>B6+C6+D6+K6</f>
        <v>809.5</v>
      </c>
      <c r="N6" s="154">
        <f>H6+I6+J6+L6</f>
        <v>843.96519999999998</v>
      </c>
      <c r="O6" s="153">
        <f>E$21*M6/M$8</f>
        <v>1314661.6459252026</v>
      </c>
      <c r="P6" s="153">
        <f>E$22*N6/N$8</f>
        <v>11144955.308964657</v>
      </c>
      <c r="Q6" s="152">
        <f>SUM(O6:P6)</f>
        <v>12459616.95488986</v>
      </c>
      <c r="R6" s="151" t="s">
        <v>42</v>
      </c>
    </row>
    <row r="7" spans="1:21" s="140" customFormat="1" ht="10.15" customHeight="1">
      <c r="A7" s="157" t="s">
        <v>40</v>
      </c>
      <c r="B7" s="156">
        <f>SUMIFS(VČ_A_data!$K12:$K47,VČ_A_data!$A12:$A47,$A7,VČ_A_data!$E12:$E47,"B*")</f>
        <v>271.5</v>
      </c>
      <c r="C7" s="156">
        <f>SUMIFS(VČ_A_data!$K12:$K47,VČ_A_data!$A12:$A47,$A7,VČ_A_data!$E12:$E47,"N*")</f>
        <v>183</v>
      </c>
      <c r="D7" s="156">
        <f>SUMIFS(VČ_A_data!$K12:$K47,VČ_A_data!$A12:$A47,$A7,VČ_A_data!$E12:$E47,"P*")</f>
        <v>56</v>
      </c>
      <c r="E7" s="156">
        <f>SUMIFS(VČ_A_data!$L12:$L47,VČ_A_data!$A12:$A47,$A7,VČ_A_data!$E12:$E47,"B*")</f>
        <v>271.5</v>
      </c>
      <c r="F7" s="156">
        <f>SUMIFS(VČ_A_data!$L12:$L47,VČ_A_data!$A12:$A47,$A7,VČ_A_data!$E12:$E47,"N*")</f>
        <v>183</v>
      </c>
      <c r="G7" s="156">
        <f>SUMIFS(VČ_A_data!$L12:$L47,VČ_A_data!$A12:$A47,$A7,VČ_A_data!$E12:$E47,"P*")</f>
        <v>56</v>
      </c>
      <c r="H7" s="154">
        <f>$E$12*E7</f>
        <v>271.5</v>
      </c>
      <c r="I7" s="154">
        <f>$E$14*F7</f>
        <v>192.15</v>
      </c>
      <c r="J7" s="154">
        <f>$E$15*G7</f>
        <v>74.6648</v>
      </c>
      <c r="K7" s="155">
        <f>SUMIFS(VČ_A_data_cizinci!M$6:M$15,VČ_A_data_cizinci!$A$6:$A$15,VČ_A_přehled!$A7)</f>
        <v>21</v>
      </c>
      <c r="L7" s="155">
        <f>SUMIFS(VČ_A_data_cizinci!U$6:U$15,VČ_A_data_cizinci!$A$6:$A$15,VČ_A_přehled!$A7)</f>
        <v>25.4496</v>
      </c>
      <c r="M7" s="154">
        <f>B7+C7+D7+K7</f>
        <v>531.5</v>
      </c>
      <c r="N7" s="154">
        <f>H7+I7+J7+L7</f>
        <v>563.76440000000002</v>
      </c>
      <c r="O7" s="153">
        <f>E$21*M7/M$8</f>
        <v>863178.09117880801</v>
      </c>
      <c r="P7" s="153">
        <f>E$22*N7/N$8</f>
        <v>7444772.65506359</v>
      </c>
      <c r="Q7" s="152">
        <f>SUM(O7:P7)</f>
        <v>8307950.7462423984</v>
      </c>
      <c r="R7" s="151" t="s">
        <v>40</v>
      </c>
    </row>
    <row r="8" spans="1:21" s="140" customFormat="1" ht="10.15" customHeight="1" thickBot="1">
      <c r="A8" s="150" t="s">
        <v>0</v>
      </c>
      <c r="B8" s="149">
        <f t="shared" ref="B8:Q8" si="0">SUM(B3:B7)</f>
        <v>2053</v>
      </c>
      <c r="C8" s="149">
        <f t="shared" si="0"/>
        <v>1330.5</v>
      </c>
      <c r="D8" s="149">
        <f t="shared" si="0"/>
        <v>235</v>
      </c>
      <c r="E8" s="149">
        <f t="shared" si="0"/>
        <v>2168.8000000000002</v>
      </c>
      <c r="F8" s="149">
        <f t="shared" si="0"/>
        <v>1443.1</v>
      </c>
      <c r="G8" s="149">
        <f t="shared" si="0"/>
        <v>243.2</v>
      </c>
      <c r="H8" s="149">
        <f t="shared" si="0"/>
        <v>2168.8000000000002</v>
      </c>
      <c r="I8" s="149">
        <f t="shared" si="0"/>
        <v>1515.2550000000003</v>
      </c>
      <c r="J8" s="149">
        <f t="shared" si="0"/>
        <v>324.25855999999999</v>
      </c>
      <c r="K8" s="149">
        <f t="shared" si="0"/>
        <v>213.5</v>
      </c>
      <c r="L8" s="149">
        <f t="shared" si="0"/>
        <v>233.10720000000001</v>
      </c>
      <c r="M8" s="149">
        <f t="shared" si="0"/>
        <v>3832</v>
      </c>
      <c r="N8" s="149">
        <f t="shared" si="0"/>
        <v>4241.42076</v>
      </c>
      <c r="O8" s="148">
        <f t="shared" si="0"/>
        <v>6223327.2726193657</v>
      </c>
      <c r="P8" s="148">
        <f t="shared" si="0"/>
        <v>56009945.453574277</v>
      </c>
      <c r="Q8" s="147">
        <f t="shared" si="0"/>
        <v>62233272.726193644</v>
      </c>
    </row>
    <row r="9" spans="1:21" s="140" customFormat="1" ht="9" customHeight="1">
      <c r="B9" s="144"/>
      <c r="C9" s="144"/>
      <c r="D9" s="144"/>
    </row>
    <row r="10" spans="1:21" ht="13.15" customHeight="1">
      <c r="A10" s="146" t="s">
        <v>154</v>
      </c>
      <c r="B10" s="146">
        <v>2017.5</v>
      </c>
      <c r="C10" s="146">
        <v>1391</v>
      </c>
      <c r="D10" s="146">
        <v>259</v>
      </c>
      <c r="E10" s="146">
        <v>2132.6</v>
      </c>
      <c r="F10" s="146">
        <v>1499.1</v>
      </c>
      <c r="G10" s="146">
        <v>267.89999999999998</v>
      </c>
      <c r="H10" s="146">
        <v>2132.6</v>
      </c>
      <c r="I10" s="146">
        <v>1574.0550000000001</v>
      </c>
      <c r="J10" s="146">
        <v>357.19106999999997</v>
      </c>
      <c r="K10" s="146">
        <v>184.5</v>
      </c>
      <c r="L10" s="146">
        <v>200.57410000000002</v>
      </c>
      <c r="M10" s="146">
        <v>3852</v>
      </c>
      <c r="N10" s="146">
        <v>4264.4201699999994</v>
      </c>
      <c r="O10" s="145"/>
      <c r="P10" s="145"/>
      <c r="Q10" s="145"/>
      <c r="U10" s="145" t="s">
        <v>131</v>
      </c>
    </row>
    <row r="11" spans="1:21" ht="13.15" customHeight="1">
      <c r="J11" s="140"/>
      <c r="K11" s="140"/>
      <c r="L11" s="140"/>
      <c r="M11" s="140"/>
      <c r="N11" s="140"/>
      <c r="O11" s="144"/>
      <c r="P11" s="140"/>
      <c r="Q11" s="144"/>
      <c r="S11" s="137"/>
      <c r="T11" s="137"/>
    </row>
    <row r="12" spans="1:21" s="140" customFormat="1" ht="13.15" customHeight="1">
      <c r="A12" s="128" t="s">
        <v>153</v>
      </c>
      <c r="B12" s="128"/>
      <c r="C12" s="128"/>
      <c r="D12" s="128"/>
      <c r="E12" s="698">
        <v>1</v>
      </c>
      <c r="F12" s="698"/>
      <c r="G12" s="143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21" s="140" customFormat="1" ht="10.15" customHeight="1">
      <c r="A13" s="128" t="s">
        <v>152</v>
      </c>
      <c r="B13" s="128"/>
      <c r="C13" s="128"/>
      <c r="D13" s="128"/>
      <c r="E13" s="698">
        <v>1.04</v>
      </c>
      <c r="F13" s="698"/>
      <c r="G13" s="139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21" s="140" customFormat="1" ht="10.15" customHeight="1">
      <c r="A14" s="128" t="s">
        <v>151</v>
      </c>
      <c r="B14" s="128"/>
      <c r="C14" s="128"/>
      <c r="D14" s="128"/>
      <c r="E14" s="698">
        <v>1.05</v>
      </c>
      <c r="F14" s="698"/>
      <c r="G14" s="142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21" s="140" customFormat="1" ht="10.15" customHeight="1">
      <c r="A15" s="128" t="s">
        <v>150</v>
      </c>
      <c r="B15" s="128"/>
      <c r="C15" s="128"/>
      <c r="D15" s="128"/>
      <c r="E15" s="704">
        <v>1.3332999999999999</v>
      </c>
      <c r="F15" s="704"/>
      <c r="G15" s="142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21" s="140" customFormat="1" ht="10.15" customHeight="1">
      <c r="A16" s="128" t="s">
        <v>149</v>
      </c>
      <c r="B16" s="128"/>
      <c r="C16" s="128"/>
      <c r="D16" s="128"/>
      <c r="E16" s="705">
        <v>0.5</v>
      </c>
      <c r="F16" s="705"/>
      <c r="G16" s="142"/>
      <c r="I16" s="137"/>
      <c r="J16" s="135"/>
      <c r="K16" s="135"/>
      <c r="L16" s="135"/>
      <c r="M16" s="137"/>
      <c r="N16" s="137"/>
      <c r="O16" s="137"/>
      <c r="P16" s="135"/>
      <c r="Q16" s="135"/>
    </row>
    <row r="17" spans="1:23" s="140" customFormat="1" ht="10.15" customHeight="1">
      <c r="A17" s="128" t="s">
        <v>148</v>
      </c>
      <c r="B17" s="128"/>
      <c r="C17" s="128"/>
      <c r="D17" s="128"/>
      <c r="E17" s="705">
        <v>1</v>
      </c>
      <c r="F17" s="705"/>
      <c r="G17" s="139"/>
      <c r="I17" s="137"/>
      <c r="J17" s="135"/>
      <c r="K17" s="135"/>
      <c r="L17" s="135"/>
      <c r="M17" s="137"/>
      <c r="N17" s="137"/>
      <c r="O17" s="137"/>
      <c r="P17" s="135"/>
      <c r="Q17" s="135"/>
    </row>
    <row r="18" spans="1:23" s="140" customFormat="1" ht="10.15" customHeight="1">
      <c r="A18" s="141"/>
      <c r="B18" s="141"/>
      <c r="C18" s="141"/>
      <c r="D18" s="141"/>
      <c r="E18" s="696"/>
      <c r="F18" s="696"/>
      <c r="G18" s="139"/>
      <c r="I18" s="137"/>
      <c r="J18" s="135"/>
      <c r="K18" s="135"/>
      <c r="L18" s="135"/>
      <c r="M18" s="137"/>
      <c r="N18" s="137"/>
      <c r="O18" s="136"/>
      <c r="P18" s="135"/>
      <c r="Q18" s="135"/>
    </row>
    <row r="19" spans="1:23" s="106" customFormat="1" ht="10.15" customHeight="1">
      <c r="A19" s="128" t="s">
        <v>147</v>
      </c>
      <c r="B19" s="128"/>
      <c r="C19" s="128"/>
      <c r="D19" s="128"/>
      <c r="E19" s="697">
        <f>'Vzdělávací činnost'!B6</f>
        <v>62233272.726193644</v>
      </c>
      <c r="F19" s="697">
        <v>1761661117.3484399</v>
      </c>
      <c r="G19" s="139"/>
      <c r="I19" s="137"/>
      <c r="J19" s="135"/>
      <c r="K19" s="135"/>
      <c r="L19" s="135"/>
      <c r="M19" s="137"/>
      <c r="N19" s="137"/>
      <c r="O19" s="136"/>
      <c r="P19" s="135"/>
      <c r="Q19" s="135"/>
      <c r="W19" s="138"/>
    </row>
    <row r="20" spans="1:23" s="106" customFormat="1" ht="10.15" customHeight="1">
      <c r="A20" s="128" t="s">
        <v>146</v>
      </c>
      <c r="B20" s="128"/>
      <c r="C20" s="128"/>
      <c r="D20" s="128"/>
      <c r="E20" s="706">
        <v>0.1</v>
      </c>
      <c r="F20" s="706"/>
      <c r="G20" s="139"/>
      <c r="I20" s="137"/>
      <c r="J20" s="135"/>
      <c r="K20" s="135"/>
      <c r="L20" s="135"/>
      <c r="M20" s="137"/>
      <c r="N20" s="137"/>
      <c r="O20" s="136"/>
      <c r="P20" s="135"/>
      <c r="Q20" s="135"/>
      <c r="W20" s="138"/>
    </row>
    <row r="21" spans="1:23" s="106" customFormat="1" ht="10.15" customHeight="1">
      <c r="A21" s="128" t="s">
        <v>145</v>
      </c>
      <c r="B21" s="128"/>
      <c r="C21" s="128"/>
      <c r="D21" s="128"/>
      <c r="E21" s="697">
        <f>E19*E20</f>
        <v>6223327.2726193648</v>
      </c>
      <c r="F21" s="697"/>
      <c r="G21" s="107"/>
      <c r="I21" s="137"/>
      <c r="J21" s="135"/>
      <c r="K21" s="135"/>
      <c r="L21" s="135"/>
      <c r="M21" s="137"/>
      <c r="N21" s="137"/>
      <c r="O21" s="136"/>
      <c r="P21" s="135"/>
      <c r="Q21" s="135"/>
      <c r="W21" s="138"/>
    </row>
    <row r="22" spans="1:23" s="106" customFormat="1" ht="10.15" customHeight="1">
      <c r="A22" s="128" t="s">
        <v>144</v>
      </c>
      <c r="B22" s="128"/>
      <c r="C22" s="128"/>
      <c r="D22" s="128"/>
      <c r="E22" s="697">
        <f>E19-E21</f>
        <v>56009945.453574277</v>
      </c>
      <c r="F22" s="697"/>
      <c r="G22" s="107"/>
      <c r="I22" s="137"/>
      <c r="J22" s="135"/>
      <c r="K22" s="135"/>
      <c r="L22" s="135"/>
      <c r="M22" s="137"/>
      <c r="N22" s="137"/>
      <c r="O22" s="136"/>
      <c r="P22" s="135"/>
      <c r="Q22" s="135"/>
      <c r="W22" s="138"/>
    </row>
    <row r="23" spans="1:23" s="106" customFormat="1" ht="10.15" customHeight="1">
      <c r="A23" s="135"/>
      <c r="B23" s="135"/>
      <c r="C23" s="135"/>
      <c r="D23" s="135"/>
      <c r="E23" s="135"/>
      <c r="F23" s="135"/>
      <c r="G23" s="135"/>
      <c r="I23" s="137"/>
      <c r="J23" s="135"/>
      <c r="K23" s="135"/>
      <c r="L23" s="135"/>
      <c r="M23" s="137"/>
      <c r="N23" s="137"/>
      <c r="O23" s="136"/>
      <c r="P23" s="135"/>
      <c r="Q23" s="135"/>
      <c r="W23" s="138"/>
    </row>
    <row r="24" spans="1:23" s="106" customFormat="1" ht="10.15" customHeight="1">
      <c r="A24" s="135"/>
      <c r="B24" s="135"/>
      <c r="C24" s="135"/>
      <c r="D24" s="135"/>
      <c r="E24" s="135"/>
      <c r="F24" s="135"/>
      <c r="G24" s="135"/>
      <c r="J24" s="135"/>
      <c r="K24" s="135"/>
      <c r="L24" s="135"/>
      <c r="M24" s="137"/>
      <c r="N24" s="137"/>
      <c r="O24" s="136"/>
      <c r="P24" s="135"/>
      <c r="Q24" s="135"/>
      <c r="W24" s="138"/>
    </row>
    <row r="25" spans="1:23" s="106" customFormat="1" ht="10.15" customHeight="1">
      <c r="A25" s="703"/>
      <c r="B25" s="703"/>
      <c r="C25" s="703"/>
      <c r="D25" s="703"/>
      <c r="E25" s="135"/>
      <c r="F25" s="135"/>
      <c r="G25" s="135"/>
      <c r="H25" s="135"/>
      <c r="I25" s="135"/>
      <c r="J25" s="135"/>
      <c r="K25" s="135"/>
      <c r="L25" s="135"/>
      <c r="M25" s="137"/>
      <c r="N25" s="137"/>
      <c r="O25" s="136"/>
      <c r="P25" s="135"/>
      <c r="Q25" s="135"/>
    </row>
    <row r="26" spans="1:23" s="106" customFormat="1" ht="10.15" customHeight="1">
      <c r="A26" s="703"/>
      <c r="B26" s="703"/>
      <c r="C26" s="703"/>
      <c r="D26" s="703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135"/>
      <c r="Q26" s="135"/>
    </row>
    <row r="27" spans="1:23" s="106" customFormat="1" ht="13.15" customHeight="1">
      <c r="A27" s="135"/>
      <c r="B27" s="135"/>
      <c r="C27" s="135"/>
      <c r="D27" s="135"/>
      <c r="E27" s="135"/>
      <c r="F27" s="135"/>
      <c r="G27" s="135"/>
      <c r="J27" s="135"/>
      <c r="K27" s="135"/>
      <c r="L27" s="135"/>
      <c r="M27" s="135"/>
      <c r="N27" s="135"/>
      <c r="O27" s="136"/>
      <c r="P27" s="135"/>
      <c r="Q27" s="135"/>
    </row>
  </sheetData>
  <mergeCells count="19">
    <mergeCell ref="B1:D1"/>
    <mergeCell ref="E1:G1"/>
    <mergeCell ref="A25:D25"/>
    <mergeCell ref="A26:D26"/>
    <mergeCell ref="E15:F15"/>
    <mergeCell ref="E21:F21"/>
    <mergeCell ref="E16:F16"/>
    <mergeCell ref="E17:F17"/>
    <mergeCell ref="E19:F19"/>
    <mergeCell ref="E20:F20"/>
    <mergeCell ref="K1:L1"/>
    <mergeCell ref="M1:N1"/>
    <mergeCell ref="O1:Q1"/>
    <mergeCell ref="E18:F18"/>
    <mergeCell ref="E22:F22"/>
    <mergeCell ref="E14:F14"/>
    <mergeCell ref="E12:F12"/>
    <mergeCell ref="E13:F13"/>
    <mergeCell ref="H1:J1"/>
  </mergeCells>
  <pageMargins left="0.39370078740157483" right="0.39370078740157483" top="0.31496062992125984" bottom="0.15748031496062992" header="0.51181102362204722" footer="0.51181102362204722"/>
  <pageSetup paperSize="9" scale="74" firstPageNumber="0" fitToWidth="0" fitToHeight="0" orientation="landscape" horizontalDpi="300" verticalDpi="300" r:id="rId1"/>
  <headerFooter alignWithMargins="0">
    <oddHeader>&amp;C&amp;14&amp;A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161"/>
    <pageSetUpPr fitToPage="1"/>
  </sheetPr>
  <dimension ref="A1:L37"/>
  <sheetViews>
    <sheetView showZeros="0" zoomScaleNormal="100" workbookViewId="0">
      <selection activeCell="J20" sqref="J20"/>
    </sheetView>
  </sheetViews>
  <sheetFormatPr defaultColWidth="19.42578125" defaultRowHeight="10.15" customHeight="1"/>
  <cols>
    <col min="1" max="1" width="24.7109375" style="75" customWidth="1"/>
    <col min="2" max="5" width="11" style="74" customWidth="1"/>
    <col min="6" max="6" width="9.7109375" style="74" customWidth="1"/>
    <col min="7" max="16384" width="19.42578125" style="74"/>
  </cols>
  <sheetData>
    <row r="1" spans="1:12" ht="14.65" customHeight="1" thickBot="1"/>
    <row r="2" spans="1:12" s="102" customFormat="1" ht="27.75" customHeight="1">
      <c r="A2" s="105" t="s">
        <v>73</v>
      </c>
      <c r="B2" s="104" t="s">
        <v>72</v>
      </c>
      <c r="C2" s="104" t="s">
        <v>71</v>
      </c>
      <c r="D2" s="104" t="s">
        <v>70</v>
      </c>
      <c r="E2" s="103" t="s">
        <v>69</v>
      </c>
      <c r="G2" s="619" t="s">
        <v>860</v>
      </c>
      <c r="H2" s="619" t="s">
        <v>861</v>
      </c>
      <c r="I2" s="619" t="s">
        <v>862</v>
      </c>
      <c r="J2" s="619" t="s">
        <v>863</v>
      </c>
      <c r="K2" s="619" t="s">
        <v>43</v>
      </c>
    </row>
    <row r="3" spans="1:12" ht="14.65" customHeight="1">
      <c r="A3" s="101" t="s">
        <v>68</v>
      </c>
      <c r="B3" s="100">
        <v>113811197</v>
      </c>
      <c r="C3" s="100">
        <v>0</v>
      </c>
      <c r="D3" s="100">
        <v>90199548</v>
      </c>
      <c r="E3" s="99">
        <f>SUM(B3:D3)</f>
        <v>204010745</v>
      </c>
      <c r="G3" s="82">
        <f>C3/E3</f>
        <v>0</v>
      </c>
      <c r="H3" s="82"/>
      <c r="I3" s="82"/>
      <c r="J3" s="82"/>
      <c r="K3" s="82"/>
    </row>
    <row r="4" spans="1:12" ht="20.25" customHeight="1">
      <c r="A4" s="98" t="s">
        <v>67</v>
      </c>
      <c r="B4" s="97"/>
      <c r="C4" s="97"/>
      <c r="D4" s="97"/>
      <c r="E4" s="96">
        <f>Děkanát!D22-Děkanát!D23+'Celofakultní aktivity'!D26-'Celofakultní aktivity'!D27</f>
        <v>87580667.040625006</v>
      </c>
      <c r="G4" s="82"/>
      <c r="H4" s="82"/>
      <c r="I4" s="82"/>
      <c r="J4" s="82"/>
      <c r="K4" s="82"/>
    </row>
    <row r="5" spans="1:12" ht="3" customHeight="1" thickBot="1">
      <c r="A5" s="95"/>
      <c r="B5" s="94"/>
      <c r="C5" s="94"/>
      <c r="D5" s="94"/>
      <c r="E5" s="93"/>
      <c r="G5" s="82"/>
      <c r="H5" s="82"/>
      <c r="I5" s="82"/>
      <c r="J5" s="82"/>
      <c r="K5" s="82"/>
    </row>
    <row r="6" spans="1:12" ht="14.65" customHeight="1">
      <c r="A6" s="92" t="s">
        <v>66</v>
      </c>
      <c r="B6" s="91">
        <f>($E$3-$E$4-C6)/$E$3*B3</f>
        <v>62233272.726193644</v>
      </c>
      <c r="C6" s="91">
        <v>4874654</v>
      </c>
      <c r="D6" s="91">
        <f>($E$3-$E$4-C6)/$E$3*D3</f>
        <v>49322151.233181342</v>
      </c>
      <c r="E6" s="90">
        <f t="shared" ref="E6:E11" si="0">SUM(B6:D6)</f>
        <v>116430077.95937499</v>
      </c>
      <c r="G6" s="620">
        <f>SUM(G7:G11)</f>
        <v>1300000</v>
      </c>
      <c r="H6" s="620">
        <f>SUM(H7:H11)</f>
        <v>115130077.95937499</v>
      </c>
      <c r="I6" s="620">
        <f t="shared" ref="I6:K6" si="1">SUM(I7:I11)</f>
        <v>300000</v>
      </c>
      <c r="J6" s="620">
        <f t="shared" si="1"/>
        <v>150000</v>
      </c>
      <c r="K6" s="620">
        <f t="shared" si="1"/>
        <v>116880077.95937499</v>
      </c>
    </row>
    <row r="7" spans="1:12" ht="14.65" customHeight="1">
      <c r="A7" s="86" t="s">
        <v>39</v>
      </c>
      <c r="B7" s="85">
        <f>VČ_A_přehled!Q3</f>
        <v>8948538.9177021775</v>
      </c>
      <c r="C7" s="85">
        <f>VČ_B_přehled!E2</f>
        <v>627950.80257551372</v>
      </c>
      <c r="D7" s="85">
        <f>VČ_K_přehled!M12</f>
        <v>12698519.375461752</v>
      </c>
      <c r="E7" s="84">
        <f t="shared" si="0"/>
        <v>22275009.095739443</v>
      </c>
      <c r="G7" s="620">
        <v>200000</v>
      </c>
      <c r="H7" s="620">
        <f>E7-G7</f>
        <v>22075009.095739443</v>
      </c>
      <c r="I7" s="620">
        <v>100000</v>
      </c>
      <c r="J7" s="620">
        <v>30000</v>
      </c>
      <c r="K7" s="620">
        <f>SUM(G7:J7)</f>
        <v>22405009.095739443</v>
      </c>
      <c r="L7" s="112"/>
    </row>
    <row r="8" spans="1:12" ht="14.65" customHeight="1">
      <c r="A8" s="89" t="s">
        <v>52</v>
      </c>
      <c r="B8" s="88">
        <f>VČ_A_přehled!Q4</f>
        <v>21330352.038906086</v>
      </c>
      <c r="C8" s="88">
        <f>VČ_B_přehled!E3</f>
        <v>273531.62749739608</v>
      </c>
      <c r="D8" s="88">
        <f>VČ_K_přehled!M13</f>
        <v>7639508.9204605352</v>
      </c>
      <c r="E8" s="87">
        <f t="shared" si="0"/>
        <v>29243392.586864017</v>
      </c>
      <c r="G8" s="620">
        <v>300000</v>
      </c>
      <c r="H8" s="620">
        <f t="shared" ref="H8:H11" si="2">E8-G8</f>
        <v>28943392.586864017</v>
      </c>
      <c r="I8" s="620">
        <v>0</v>
      </c>
      <c r="J8" s="620">
        <v>30000</v>
      </c>
      <c r="K8" s="620">
        <f t="shared" ref="K8:K11" si="3">SUM(G8:J8)</f>
        <v>29273392.586864017</v>
      </c>
      <c r="L8" s="112"/>
    </row>
    <row r="9" spans="1:12" ht="14.65" customHeight="1">
      <c r="A9" s="86" t="s">
        <v>41</v>
      </c>
      <c r="B9" s="85">
        <f>VČ_A_přehled!Q5</f>
        <v>11186814.068453122</v>
      </c>
      <c r="C9" s="85">
        <f>VČ_B_přehled!E4</f>
        <v>1073040.5842249787</v>
      </c>
      <c r="D9" s="85">
        <f>VČ_K_přehled!M14</f>
        <v>9811777.7106570899</v>
      </c>
      <c r="E9" s="84">
        <f t="shared" si="0"/>
        <v>22071632.363335192</v>
      </c>
      <c r="G9" s="620">
        <v>100000</v>
      </c>
      <c r="H9" s="620">
        <f t="shared" si="2"/>
        <v>21971632.363335192</v>
      </c>
      <c r="I9" s="620">
        <v>0</v>
      </c>
      <c r="J9" s="620">
        <v>30000</v>
      </c>
      <c r="K9" s="620">
        <f t="shared" si="3"/>
        <v>22101632.363335192</v>
      </c>
      <c r="L9" s="112"/>
    </row>
    <row r="10" spans="1:12" ht="14.65" customHeight="1">
      <c r="A10" s="89" t="s">
        <v>42</v>
      </c>
      <c r="B10" s="88">
        <f>VČ_A_přehled!Q6</f>
        <v>12459616.95488986</v>
      </c>
      <c r="C10" s="88">
        <f>VČ_B_přehled!E5</f>
        <v>2533463.2856737054</v>
      </c>
      <c r="D10" s="88">
        <f>VČ_K_přehled!M15</f>
        <v>14303561.083981916</v>
      </c>
      <c r="E10" s="87">
        <f t="shared" si="0"/>
        <v>29296641.32454548</v>
      </c>
      <c r="G10" s="620">
        <v>600000</v>
      </c>
      <c r="H10" s="620">
        <f t="shared" si="2"/>
        <v>28696641.32454548</v>
      </c>
      <c r="I10" s="620">
        <v>100000</v>
      </c>
      <c r="J10" s="620">
        <v>30000</v>
      </c>
      <c r="K10" s="620">
        <f t="shared" si="3"/>
        <v>29426641.32454548</v>
      </c>
      <c r="L10" s="112"/>
    </row>
    <row r="11" spans="1:12" ht="14.65" customHeight="1">
      <c r="A11" s="86" t="s">
        <v>40</v>
      </c>
      <c r="B11" s="85">
        <f>VČ_A_přehled!Q7</f>
        <v>8307950.7462423984</v>
      </c>
      <c r="C11" s="85">
        <f>VČ_B_přehled!E6</f>
        <v>366667.7000284064</v>
      </c>
      <c r="D11" s="85">
        <f>VČ_K_přehled!M16</f>
        <v>4868784.1426200522</v>
      </c>
      <c r="E11" s="84">
        <f t="shared" si="0"/>
        <v>13543402.588890858</v>
      </c>
      <c r="G11" s="620">
        <v>100000</v>
      </c>
      <c r="H11" s="620">
        <f t="shared" si="2"/>
        <v>13443402.588890858</v>
      </c>
      <c r="I11" s="620">
        <v>100000</v>
      </c>
      <c r="J11" s="620">
        <v>30000</v>
      </c>
      <c r="K11" s="620">
        <f t="shared" si="3"/>
        <v>13673402.588890858</v>
      </c>
      <c r="L11" s="112"/>
    </row>
    <row r="12" spans="1:12" ht="3" customHeight="1">
      <c r="A12" s="83"/>
      <c r="B12" s="82"/>
      <c r="C12" s="82"/>
      <c r="D12" s="82"/>
      <c r="E12" s="81"/>
    </row>
    <row r="13" spans="1:12" ht="14.65" customHeight="1" thickBot="1">
      <c r="A13" s="80" t="s">
        <v>65</v>
      </c>
      <c r="B13" s="79">
        <f>SUM(B7:B11)</f>
        <v>62233272.726193644</v>
      </c>
      <c r="C13" s="79">
        <f>SUM(C7:C11)</f>
        <v>4874654</v>
      </c>
      <c r="D13" s="79">
        <f>SUM(D7:D11)</f>
        <v>49322151.233181342</v>
      </c>
      <c r="E13" s="78">
        <f>SUM(E7:E11)</f>
        <v>116430077.95937499</v>
      </c>
    </row>
    <row r="14" spans="1:12" ht="14.65" customHeight="1">
      <c r="E14" s="76"/>
    </row>
    <row r="15" spans="1:12" ht="14.65" customHeight="1"/>
    <row r="16" spans="1:12" ht="14.65" customHeight="1">
      <c r="C16" s="77"/>
      <c r="E16" s="76"/>
    </row>
    <row r="17" spans="2:4" ht="14.65" customHeight="1">
      <c r="D17" s="76"/>
    </row>
    <row r="18" spans="2:4" ht="14.65" customHeight="1">
      <c r="B18" s="76"/>
    </row>
    <row r="19" spans="2:4" ht="14.65" customHeight="1"/>
    <row r="20" spans="2:4" ht="14.65" customHeight="1"/>
    <row r="21" spans="2:4" ht="14.65" customHeight="1"/>
    <row r="22" spans="2:4" ht="14.65" customHeight="1"/>
    <row r="23" spans="2:4" ht="14.65" customHeight="1"/>
    <row r="24" spans="2:4" ht="14.65" customHeight="1"/>
    <row r="25" spans="2:4" ht="14.65" customHeight="1"/>
    <row r="26" spans="2:4" ht="14.65" customHeight="1"/>
    <row r="27" spans="2:4" ht="14.65" customHeight="1"/>
    <row r="28" spans="2:4" ht="14.65" customHeight="1"/>
    <row r="29" spans="2:4" ht="14.65" customHeight="1"/>
    <row r="30" spans="2:4" ht="14.65" customHeight="1"/>
    <row r="31" spans="2:4" ht="14.65" customHeight="1"/>
    <row r="32" spans="2:4" ht="14.65" customHeight="1"/>
    <row r="33" ht="14.65" customHeight="1"/>
    <row r="34" ht="14.65" customHeight="1"/>
    <row r="35" ht="14.65" customHeight="1"/>
    <row r="36" ht="14.65" customHeight="1"/>
    <row r="37" ht="14.65" customHeight="1"/>
  </sheetData>
  <pageMargins left="0.59027777777777779" right="0.55138888888888893" top="0.88958333333333339" bottom="0.5902777777777779" header="0.39374999999999999" footer="0.51180555555555562"/>
  <pageSetup paperSize="9" scale="76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137"/>
  <sheetViews>
    <sheetView showZeros="0" topLeftCell="A31" zoomScaleNormal="100" workbookViewId="0">
      <selection activeCell="Q44" sqref="Q44"/>
    </sheetView>
  </sheetViews>
  <sheetFormatPr defaultColWidth="8.7109375" defaultRowHeight="9"/>
  <cols>
    <col min="1" max="1" width="14.140625" style="106" customWidth="1"/>
    <col min="2" max="2" width="7.42578125" style="162" customWidth="1"/>
    <col min="3" max="3" width="7.42578125" style="106" customWidth="1"/>
    <col min="4" max="4" width="5.42578125" style="106" bestFit="1" customWidth="1"/>
    <col min="5" max="16" width="5.140625" style="106" bestFit="1" customWidth="1"/>
    <col min="17" max="17" width="9" style="106" bestFit="1" customWidth="1"/>
    <col min="18" max="18" width="8.7109375" style="106"/>
    <col min="19" max="19" width="26" style="106" customWidth="1"/>
    <col min="20" max="16384" width="8.7109375" style="106"/>
  </cols>
  <sheetData>
    <row r="1" spans="1:17" ht="19.899999999999999" customHeight="1">
      <c r="A1" s="707" t="s">
        <v>194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</row>
    <row r="2" spans="1:17" ht="10.15" customHeight="1">
      <c r="A2" s="106" t="s">
        <v>175</v>
      </c>
      <c r="B2" s="106"/>
    </row>
    <row r="3" spans="1:17" ht="10.15" customHeight="1">
      <c r="A3" s="106" t="s">
        <v>131</v>
      </c>
      <c r="B3" s="106">
        <v>11</v>
      </c>
      <c r="Q3" s="106" t="s">
        <v>329</v>
      </c>
    </row>
    <row r="4" spans="1:17" ht="10.15" customHeight="1">
      <c r="B4" s="106"/>
    </row>
    <row r="5" spans="1:17" ht="10.15" customHeight="1">
      <c r="A5" s="106" t="s">
        <v>173</v>
      </c>
      <c r="B5" s="106"/>
    </row>
    <row r="6" spans="1:17" ht="10.15" customHeight="1">
      <c r="A6" s="106" t="s">
        <v>39</v>
      </c>
      <c r="B6" s="106">
        <v>2</v>
      </c>
      <c r="Q6" s="106" t="s">
        <v>329</v>
      </c>
    </row>
    <row r="7" spans="1:17" ht="10.15" customHeight="1">
      <c r="A7" s="106" t="s">
        <v>52</v>
      </c>
      <c r="B7" s="106">
        <v>3</v>
      </c>
    </row>
    <row r="8" spans="1:17" ht="10.15" customHeight="1">
      <c r="A8" s="106" t="s">
        <v>41</v>
      </c>
      <c r="B8" s="106">
        <v>1</v>
      </c>
    </row>
    <row r="9" spans="1:17" ht="10.15" customHeight="1">
      <c r="A9" s="106" t="s">
        <v>42</v>
      </c>
      <c r="B9" s="106">
        <v>6</v>
      </c>
    </row>
    <row r="10" spans="1:17" ht="10.15" customHeight="1">
      <c r="A10" s="106" t="s">
        <v>40</v>
      </c>
      <c r="B10" s="106">
        <v>1</v>
      </c>
    </row>
    <row r="11" spans="1:17" ht="10.15" customHeight="1">
      <c r="B11" s="106"/>
    </row>
    <row r="12" spans="1:17" ht="10.15" customHeight="1">
      <c r="A12" s="163" t="s">
        <v>493</v>
      </c>
      <c r="B12" s="163" t="s">
        <v>193</v>
      </c>
      <c r="C12" s="163" t="s">
        <v>39</v>
      </c>
      <c r="D12" s="163"/>
    </row>
    <row r="13" spans="1:17" ht="10.15" customHeight="1">
      <c r="A13" s="163" t="s">
        <v>494</v>
      </c>
      <c r="B13" s="163" t="s">
        <v>193</v>
      </c>
      <c r="C13" s="163" t="s">
        <v>39</v>
      </c>
      <c r="D13" s="163"/>
    </row>
    <row r="14" spans="1:17" ht="10.15" customHeight="1">
      <c r="A14" s="163" t="s">
        <v>495</v>
      </c>
      <c r="B14" s="163" t="s">
        <v>496</v>
      </c>
      <c r="C14" s="163" t="s">
        <v>41</v>
      </c>
      <c r="D14" s="163"/>
    </row>
    <row r="15" spans="1:17" ht="10.15" customHeight="1">
      <c r="A15" s="163" t="s">
        <v>497</v>
      </c>
      <c r="B15" s="163" t="s">
        <v>192</v>
      </c>
      <c r="C15" s="163" t="s">
        <v>42</v>
      </c>
      <c r="D15" s="163"/>
    </row>
    <row r="16" spans="1:17" ht="10.15" customHeight="1">
      <c r="A16" s="163" t="s">
        <v>498</v>
      </c>
      <c r="B16" s="163" t="s">
        <v>192</v>
      </c>
      <c r="C16" s="163" t="s">
        <v>42</v>
      </c>
      <c r="D16" s="163"/>
    </row>
    <row r="17" spans="1:17" ht="10.15" customHeight="1">
      <c r="A17" s="163" t="s">
        <v>499</v>
      </c>
      <c r="B17" s="163" t="s">
        <v>192</v>
      </c>
      <c r="C17" s="163" t="s">
        <v>42</v>
      </c>
      <c r="D17" s="163"/>
    </row>
    <row r="18" spans="1:17" ht="10.15" customHeight="1">
      <c r="A18" s="163" t="s">
        <v>500</v>
      </c>
      <c r="B18" s="163" t="s">
        <v>192</v>
      </c>
      <c r="C18" s="163" t="s">
        <v>42</v>
      </c>
      <c r="D18" s="163"/>
    </row>
    <row r="19" spans="1:17" ht="10.15" customHeight="1">
      <c r="A19" s="163" t="s">
        <v>501</v>
      </c>
      <c r="B19" s="163" t="s">
        <v>191</v>
      </c>
      <c r="C19" s="163" t="s">
        <v>42</v>
      </c>
      <c r="D19" s="163"/>
    </row>
    <row r="20" spans="1:17" s="460" customFormat="1" ht="10.15" customHeight="1">
      <c r="A20" s="163" t="s">
        <v>502</v>
      </c>
      <c r="B20" s="163" t="s">
        <v>503</v>
      </c>
      <c r="C20" s="163" t="s">
        <v>42</v>
      </c>
      <c r="D20" s="163"/>
    </row>
    <row r="21" spans="1:17" s="460" customFormat="1" ht="10.15" customHeight="1">
      <c r="A21" s="163" t="s">
        <v>504</v>
      </c>
      <c r="B21" s="163" t="s">
        <v>505</v>
      </c>
      <c r="C21" s="163" t="s">
        <v>52</v>
      </c>
      <c r="D21" s="163"/>
    </row>
    <row r="22" spans="1:17" s="460" customFormat="1" ht="10.15" customHeight="1">
      <c r="A22" s="163" t="s">
        <v>506</v>
      </c>
      <c r="B22" s="163" t="s">
        <v>505</v>
      </c>
      <c r="C22" s="163" t="s">
        <v>52</v>
      </c>
      <c r="D22" s="163"/>
    </row>
    <row r="23" spans="1:17" s="460" customFormat="1" ht="10.15" customHeight="1">
      <c r="A23" s="163" t="s">
        <v>507</v>
      </c>
      <c r="B23" s="163" t="s">
        <v>505</v>
      </c>
      <c r="C23" s="163" t="s">
        <v>52</v>
      </c>
      <c r="D23" s="163"/>
    </row>
    <row r="24" spans="1:17" s="460" customFormat="1" ht="10.15" customHeight="1">
      <c r="A24" s="163" t="s">
        <v>508</v>
      </c>
      <c r="B24" s="163" t="s">
        <v>509</v>
      </c>
      <c r="C24" s="163" t="s">
        <v>40</v>
      </c>
      <c r="D24" s="163"/>
    </row>
    <row r="25" spans="1:17" ht="10.15" customHeight="1"/>
    <row r="26" spans="1:17" ht="10.15" customHeight="1"/>
    <row r="27" spans="1:17" ht="19.899999999999999" customHeight="1">
      <c r="A27" s="707" t="s">
        <v>190</v>
      </c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Q27" s="106" t="s">
        <v>328</v>
      </c>
    </row>
    <row r="28" spans="1:17">
      <c r="A28" s="106" t="s">
        <v>175</v>
      </c>
    </row>
    <row r="29" spans="1:17" ht="10.15" customHeight="1">
      <c r="B29" s="106" t="s">
        <v>189</v>
      </c>
      <c r="C29" s="106" t="s">
        <v>188</v>
      </c>
      <c r="D29" s="106" t="s">
        <v>187</v>
      </c>
      <c r="E29" s="106" t="s">
        <v>186</v>
      </c>
      <c r="F29" s="106" t="s">
        <v>185</v>
      </c>
      <c r="G29" s="106" t="s">
        <v>184</v>
      </c>
      <c r="H29" s="106" t="s">
        <v>183</v>
      </c>
      <c r="I29" s="106" t="s">
        <v>182</v>
      </c>
      <c r="J29" s="106" t="s">
        <v>181</v>
      </c>
      <c r="K29" s="106" t="s">
        <v>180</v>
      </c>
      <c r="L29" s="106" t="s">
        <v>179</v>
      </c>
      <c r="M29" s="106" t="s">
        <v>178</v>
      </c>
      <c r="N29" s="166" t="s">
        <v>177</v>
      </c>
    </row>
    <row r="30" spans="1:17" ht="10.15" customHeight="1">
      <c r="A30" s="106" t="s">
        <v>131</v>
      </c>
      <c r="B30" s="106">
        <v>8.3000000000000007</v>
      </c>
      <c r="C30" s="106">
        <v>9.3000000000000007</v>
      </c>
      <c r="D30" s="106">
        <v>10.3</v>
      </c>
      <c r="E30" s="106">
        <v>9.91</v>
      </c>
      <c r="F30" s="106">
        <v>9.91</v>
      </c>
      <c r="G30" s="106">
        <v>10.91</v>
      </c>
      <c r="H30" s="106">
        <v>11.91</v>
      </c>
      <c r="I30" s="106">
        <v>11.91</v>
      </c>
      <c r="J30" s="106">
        <v>13.91</v>
      </c>
      <c r="K30" s="106">
        <v>14.31</v>
      </c>
      <c r="L30" s="106">
        <v>14.31</v>
      </c>
      <c r="M30" s="106">
        <v>14.31</v>
      </c>
      <c r="N30" s="106">
        <f>AVERAGE(B30:M30)</f>
        <v>11.6075</v>
      </c>
    </row>
    <row r="31" spans="1:17" ht="10.15" customHeight="1">
      <c r="B31" s="106"/>
    </row>
    <row r="32" spans="1:17" ht="10.15" customHeight="1">
      <c r="A32" s="106" t="s">
        <v>173</v>
      </c>
      <c r="B32" s="106"/>
    </row>
    <row r="33" spans="1:14" ht="10.15" customHeight="1">
      <c r="A33" s="165" t="s">
        <v>39</v>
      </c>
      <c r="B33" s="164">
        <v>1.7</v>
      </c>
    </row>
    <row r="34" spans="1:14" ht="10.15" customHeight="1">
      <c r="A34" s="165" t="s">
        <v>52</v>
      </c>
      <c r="B34" s="164">
        <v>3.1</v>
      </c>
    </row>
    <row r="35" spans="1:14" ht="10.15" customHeight="1">
      <c r="A35" s="165" t="s">
        <v>41</v>
      </c>
      <c r="B35" s="164">
        <v>4.5</v>
      </c>
    </row>
    <row r="36" spans="1:14" ht="10.15" customHeight="1">
      <c r="A36" s="165" t="s">
        <v>42</v>
      </c>
      <c r="B36" s="164">
        <v>2</v>
      </c>
    </row>
    <row r="37" spans="1:14" ht="10.15" customHeight="1">
      <c r="A37" s="165" t="s">
        <v>40</v>
      </c>
      <c r="B37" s="164">
        <v>1</v>
      </c>
    </row>
    <row r="38" spans="1:14" ht="10.15" customHeight="1">
      <c r="A38" s="165" t="s">
        <v>43</v>
      </c>
      <c r="B38" s="164">
        <f>SUM(B33:B37)</f>
        <v>12.3</v>
      </c>
    </row>
    <row r="39" spans="1:14" ht="10.15" customHeight="1"/>
    <row r="40" spans="1:14" ht="19.899999999999999" customHeight="1">
      <c r="A40" s="707" t="s">
        <v>176</v>
      </c>
      <c r="B40" s="707"/>
      <c r="C40" s="707"/>
      <c r="D40" s="707"/>
      <c r="E40" s="707"/>
      <c r="F40" s="707"/>
      <c r="G40" s="707"/>
      <c r="H40" s="707"/>
      <c r="I40" s="707"/>
      <c r="J40" s="707"/>
      <c r="K40" s="707"/>
      <c r="L40" s="707"/>
      <c r="M40" s="707"/>
      <c r="N40" s="707"/>
    </row>
    <row r="41" spans="1:14" ht="10.15" customHeight="1">
      <c r="A41" s="106" t="s">
        <v>175</v>
      </c>
    </row>
    <row r="42" spans="1:14" ht="10.15" customHeight="1">
      <c r="B42" s="708" t="s">
        <v>174</v>
      </c>
      <c r="C42" s="708"/>
      <c r="D42" s="708"/>
      <c r="E42" s="708"/>
      <c r="F42" s="106" t="s">
        <v>43</v>
      </c>
    </row>
    <row r="43" spans="1:14" ht="10.15" customHeight="1">
      <c r="B43" s="106" t="s">
        <v>137</v>
      </c>
      <c r="C43" s="106" t="s">
        <v>136</v>
      </c>
      <c r="D43" s="106" t="s">
        <v>135</v>
      </c>
      <c r="E43" s="106" t="s">
        <v>134</v>
      </c>
    </row>
    <row r="44" spans="1:14" ht="10.15" customHeight="1">
      <c r="A44" s="106" t="s">
        <v>131</v>
      </c>
      <c r="B44" s="106">
        <v>1</v>
      </c>
      <c r="C44" s="106">
        <v>0</v>
      </c>
      <c r="D44" s="106">
        <v>79</v>
      </c>
      <c r="E44" s="106">
        <v>1</v>
      </c>
      <c r="F44" s="106">
        <f t="shared" ref="F44:F49" si="0">SUM(B44:E44)</f>
        <v>81</v>
      </c>
    </row>
    <row r="45" spans="1:14" ht="10.15" customHeight="1">
      <c r="A45" s="106" t="s">
        <v>39</v>
      </c>
      <c r="B45" s="106">
        <v>1</v>
      </c>
      <c r="D45" s="106">
        <v>9</v>
      </c>
      <c r="F45" s="106">
        <f t="shared" si="0"/>
        <v>10</v>
      </c>
    </row>
    <row r="46" spans="1:14" ht="10.15" customHeight="1">
      <c r="A46" s="106" t="s">
        <v>52</v>
      </c>
      <c r="B46" s="106"/>
      <c r="F46" s="106">
        <f t="shared" si="0"/>
        <v>0</v>
      </c>
    </row>
    <row r="47" spans="1:14" ht="10.15" customHeight="1">
      <c r="A47" s="106" t="s">
        <v>41</v>
      </c>
      <c r="B47" s="106"/>
      <c r="D47" s="106">
        <v>18</v>
      </c>
      <c r="F47" s="106">
        <f t="shared" si="0"/>
        <v>18</v>
      </c>
    </row>
    <row r="48" spans="1:14" ht="10.15" customHeight="1">
      <c r="A48" s="106" t="s">
        <v>42</v>
      </c>
      <c r="B48" s="106"/>
      <c r="D48" s="106">
        <v>46</v>
      </c>
      <c r="E48" s="106">
        <v>1</v>
      </c>
      <c r="F48" s="106">
        <f t="shared" si="0"/>
        <v>47</v>
      </c>
    </row>
    <row r="49" spans="1:6" ht="10.15" customHeight="1">
      <c r="A49" s="106" t="s">
        <v>40</v>
      </c>
      <c r="B49" s="106"/>
      <c r="D49" s="106">
        <v>6</v>
      </c>
      <c r="F49" s="106">
        <f t="shared" si="0"/>
        <v>6</v>
      </c>
    </row>
    <row r="50" spans="1:6" ht="10.15" customHeight="1">
      <c r="B50" s="106"/>
      <c r="F50" s="106">
        <f>SUM(F45:F49)</f>
        <v>81</v>
      </c>
    </row>
    <row r="51" spans="1:6" ht="10.15" customHeight="1">
      <c r="A51" s="106" t="s">
        <v>173</v>
      </c>
      <c r="B51" s="106"/>
    </row>
    <row r="52" spans="1:6" ht="10.15" customHeight="1">
      <c r="A52" s="461" t="s">
        <v>330</v>
      </c>
      <c r="B52" s="461" t="s">
        <v>331</v>
      </c>
      <c r="C52" s="461" t="s">
        <v>332</v>
      </c>
      <c r="D52" s="461" t="s">
        <v>333</v>
      </c>
      <c r="E52" s="461" t="s">
        <v>39</v>
      </c>
    </row>
    <row r="53" spans="1:6" ht="10.15" customHeight="1">
      <c r="A53" s="462" t="s">
        <v>334</v>
      </c>
      <c r="B53" s="462" t="s">
        <v>335</v>
      </c>
      <c r="C53" s="462" t="s">
        <v>336</v>
      </c>
      <c r="D53" s="462" t="s">
        <v>172</v>
      </c>
      <c r="E53" s="462" t="s">
        <v>39</v>
      </c>
    </row>
    <row r="54" spans="1:6" ht="10.15" customHeight="1">
      <c r="A54" s="461" t="s">
        <v>337</v>
      </c>
      <c r="B54" s="461" t="s">
        <v>338</v>
      </c>
      <c r="C54" s="461" t="s">
        <v>336</v>
      </c>
      <c r="D54" s="461" t="s">
        <v>171</v>
      </c>
      <c r="E54" s="461" t="s">
        <v>39</v>
      </c>
    </row>
    <row r="55" spans="1:6" ht="10.15" customHeight="1">
      <c r="A55" s="462" t="s">
        <v>339</v>
      </c>
      <c r="B55" s="462" t="s">
        <v>340</v>
      </c>
      <c r="C55" s="462" t="s">
        <v>336</v>
      </c>
      <c r="D55" s="462" t="s">
        <v>171</v>
      </c>
      <c r="E55" s="462" t="s">
        <v>39</v>
      </c>
    </row>
    <row r="56" spans="1:6" ht="10.15" customHeight="1">
      <c r="A56" s="461" t="s">
        <v>341</v>
      </c>
      <c r="B56" s="461" t="s">
        <v>342</v>
      </c>
      <c r="C56" s="461" t="s">
        <v>336</v>
      </c>
      <c r="D56" s="461" t="s">
        <v>171</v>
      </c>
      <c r="E56" s="461" t="s">
        <v>39</v>
      </c>
    </row>
    <row r="57" spans="1:6" ht="10.15" customHeight="1">
      <c r="A57" s="462" t="s">
        <v>343</v>
      </c>
      <c r="B57" s="462" t="s">
        <v>344</v>
      </c>
      <c r="C57" s="462" t="s">
        <v>336</v>
      </c>
      <c r="D57" s="462" t="s">
        <v>171</v>
      </c>
      <c r="E57" s="462" t="s">
        <v>39</v>
      </c>
    </row>
    <row r="58" spans="1:6" ht="10.15" customHeight="1">
      <c r="A58" s="461" t="s">
        <v>345</v>
      </c>
      <c r="B58" s="461" t="s">
        <v>346</v>
      </c>
      <c r="C58" s="461" t="s">
        <v>336</v>
      </c>
      <c r="D58" s="461" t="s">
        <v>171</v>
      </c>
      <c r="E58" s="461" t="s">
        <v>39</v>
      </c>
    </row>
    <row r="59" spans="1:6" ht="10.15" customHeight="1">
      <c r="A59" s="462" t="s">
        <v>347</v>
      </c>
      <c r="B59" s="462" t="s">
        <v>348</v>
      </c>
      <c r="C59" s="462" t="s">
        <v>336</v>
      </c>
      <c r="D59" s="462" t="s">
        <v>171</v>
      </c>
      <c r="E59" s="462" t="s">
        <v>39</v>
      </c>
    </row>
    <row r="60" spans="1:6" ht="10.15" customHeight="1">
      <c r="A60" s="461" t="s">
        <v>349</v>
      </c>
      <c r="B60" s="461" t="s">
        <v>350</v>
      </c>
      <c r="C60" s="461" t="s">
        <v>336</v>
      </c>
      <c r="D60" s="461" t="s">
        <v>171</v>
      </c>
      <c r="E60" s="461" t="s">
        <v>39</v>
      </c>
    </row>
    <row r="61" spans="1:6" ht="10.15" customHeight="1">
      <c r="A61" s="462" t="s">
        <v>345</v>
      </c>
      <c r="B61" s="462" t="s">
        <v>351</v>
      </c>
      <c r="C61" s="462" t="s">
        <v>336</v>
      </c>
      <c r="D61" s="462" t="s">
        <v>171</v>
      </c>
      <c r="E61" s="462" t="s">
        <v>39</v>
      </c>
    </row>
    <row r="62" spans="1:6" ht="10.15" customHeight="1">
      <c r="A62" s="461" t="s">
        <v>352</v>
      </c>
      <c r="B62" s="461" t="s">
        <v>353</v>
      </c>
      <c r="C62" s="461" t="s">
        <v>336</v>
      </c>
      <c r="D62" s="461" t="s">
        <v>170</v>
      </c>
      <c r="E62" s="461" t="s">
        <v>41</v>
      </c>
    </row>
    <row r="63" spans="1:6" ht="10.15" customHeight="1">
      <c r="A63" s="462" t="s">
        <v>354</v>
      </c>
      <c r="B63" s="462" t="s">
        <v>355</v>
      </c>
      <c r="C63" s="462" t="s">
        <v>336</v>
      </c>
      <c r="D63" s="462" t="s">
        <v>170</v>
      </c>
      <c r="E63" s="462" t="s">
        <v>41</v>
      </c>
    </row>
    <row r="64" spans="1:6" ht="10.15" customHeight="1">
      <c r="A64" s="461" t="s">
        <v>356</v>
      </c>
      <c r="B64" s="461" t="s">
        <v>357</v>
      </c>
      <c r="C64" s="461" t="s">
        <v>336</v>
      </c>
      <c r="D64" s="461" t="s">
        <v>170</v>
      </c>
      <c r="E64" s="461" t="s">
        <v>41</v>
      </c>
    </row>
    <row r="65" spans="1:5" ht="10.15" customHeight="1">
      <c r="A65" s="462" t="s">
        <v>358</v>
      </c>
      <c r="B65" s="462" t="s">
        <v>359</v>
      </c>
      <c r="C65" s="462" t="s">
        <v>336</v>
      </c>
      <c r="D65" s="462" t="s">
        <v>170</v>
      </c>
      <c r="E65" s="462" t="s">
        <v>41</v>
      </c>
    </row>
    <row r="66" spans="1:5" ht="10.15" customHeight="1">
      <c r="A66" s="461" t="s">
        <v>360</v>
      </c>
      <c r="B66" s="461" t="s">
        <v>361</v>
      </c>
      <c r="C66" s="461" t="s">
        <v>336</v>
      </c>
      <c r="D66" s="461" t="s">
        <v>170</v>
      </c>
      <c r="E66" s="461" t="s">
        <v>41</v>
      </c>
    </row>
    <row r="67" spans="1:5" ht="10.15" customHeight="1">
      <c r="A67" s="462" t="s">
        <v>362</v>
      </c>
      <c r="B67" s="462" t="s">
        <v>363</v>
      </c>
      <c r="C67" s="462" t="s">
        <v>336</v>
      </c>
      <c r="D67" s="462" t="s">
        <v>364</v>
      </c>
      <c r="E67" s="462" t="s">
        <v>41</v>
      </c>
    </row>
    <row r="68" spans="1:5" ht="10.15" customHeight="1">
      <c r="A68" s="461" t="s">
        <v>365</v>
      </c>
      <c r="B68" s="461" t="s">
        <v>366</v>
      </c>
      <c r="C68" s="461" t="s">
        <v>336</v>
      </c>
      <c r="D68" s="461" t="s">
        <v>364</v>
      </c>
      <c r="E68" s="461" t="s">
        <v>41</v>
      </c>
    </row>
    <row r="69" spans="1:5" ht="10.15" customHeight="1">
      <c r="A69" s="462" t="s">
        <v>367</v>
      </c>
      <c r="B69" s="462" t="s">
        <v>368</v>
      </c>
      <c r="C69" s="462" t="s">
        <v>336</v>
      </c>
      <c r="D69" s="462" t="s">
        <v>364</v>
      </c>
      <c r="E69" s="462" t="s">
        <v>41</v>
      </c>
    </row>
    <row r="70" spans="1:5" ht="10.15" customHeight="1">
      <c r="A70" s="461" t="s">
        <v>369</v>
      </c>
      <c r="B70" s="461" t="s">
        <v>370</v>
      </c>
      <c r="C70" s="461" t="s">
        <v>336</v>
      </c>
      <c r="D70" s="461" t="s">
        <v>364</v>
      </c>
      <c r="E70" s="461" t="s">
        <v>41</v>
      </c>
    </row>
    <row r="71" spans="1:5" ht="10.15" customHeight="1">
      <c r="A71" s="462" t="s">
        <v>371</v>
      </c>
      <c r="B71" s="462" t="s">
        <v>372</v>
      </c>
      <c r="C71" s="462" t="s">
        <v>336</v>
      </c>
      <c r="D71" s="462" t="s">
        <v>167</v>
      </c>
      <c r="E71" s="462" t="s">
        <v>41</v>
      </c>
    </row>
    <row r="72" spans="1:5" ht="10.15" customHeight="1">
      <c r="A72" s="461" t="s">
        <v>373</v>
      </c>
      <c r="B72" s="461" t="s">
        <v>374</v>
      </c>
      <c r="C72" s="461" t="s">
        <v>336</v>
      </c>
      <c r="D72" s="461" t="s">
        <v>167</v>
      </c>
      <c r="E72" s="461" t="s">
        <v>41</v>
      </c>
    </row>
    <row r="73" spans="1:5" ht="10.15" customHeight="1">
      <c r="A73" s="462" t="s">
        <v>375</v>
      </c>
      <c r="B73" s="462" t="s">
        <v>376</v>
      </c>
      <c r="C73" s="462" t="s">
        <v>336</v>
      </c>
      <c r="D73" s="462" t="s">
        <v>168</v>
      </c>
      <c r="E73" s="462" t="s">
        <v>41</v>
      </c>
    </row>
    <row r="74" spans="1:5" ht="10.15" customHeight="1">
      <c r="A74" s="461" t="s">
        <v>377</v>
      </c>
      <c r="B74" s="461" t="s">
        <v>378</v>
      </c>
      <c r="C74" s="461" t="s">
        <v>336</v>
      </c>
      <c r="D74" s="461" t="s">
        <v>168</v>
      </c>
      <c r="E74" s="461" t="s">
        <v>41</v>
      </c>
    </row>
    <row r="75" spans="1:5" ht="10.15" customHeight="1">
      <c r="A75" s="462" t="s">
        <v>169</v>
      </c>
      <c r="B75" s="462" t="s">
        <v>379</v>
      </c>
      <c r="C75" s="462" t="s">
        <v>336</v>
      </c>
      <c r="D75" s="462" t="s">
        <v>168</v>
      </c>
      <c r="E75" s="462" t="s">
        <v>41</v>
      </c>
    </row>
    <row r="76" spans="1:5" ht="10.15" customHeight="1">
      <c r="A76" s="461" t="s">
        <v>380</v>
      </c>
      <c r="B76" s="461" t="s">
        <v>381</v>
      </c>
      <c r="C76" s="461" t="s">
        <v>336</v>
      </c>
      <c r="D76" s="461" t="s">
        <v>168</v>
      </c>
      <c r="E76" s="461" t="s">
        <v>41</v>
      </c>
    </row>
    <row r="77" spans="1:5" ht="10.15" customHeight="1">
      <c r="A77" s="462" t="s">
        <v>382</v>
      </c>
      <c r="B77" s="462" t="s">
        <v>383</v>
      </c>
      <c r="C77" s="462" t="s">
        <v>336</v>
      </c>
      <c r="D77" s="462" t="s">
        <v>168</v>
      </c>
      <c r="E77" s="462" t="s">
        <v>41</v>
      </c>
    </row>
    <row r="78" spans="1:5" ht="10.15" customHeight="1">
      <c r="A78" s="461" t="s">
        <v>384</v>
      </c>
      <c r="B78" s="461" t="s">
        <v>385</v>
      </c>
      <c r="C78" s="461" t="s">
        <v>336</v>
      </c>
      <c r="D78" s="461" t="s">
        <v>168</v>
      </c>
      <c r="E78" s="461" t="s">
        <v>41</v>
      </c>
    </row>
    <row r="79" spans="1:5" ht="10.15" customHeight="1">
      <c r="A79" s="462" t="s">
        <v>386</v>
      </c>
      <c r="B79" s="462" t="s">
        <v>387</v>
      </c>
      <c r="C79" s="462" t="s">
        <v>336</v>
      </c>
      <c r="D79" s="462" t="s">
        <v>388</v>
      </c>
      <c r="E79" s="462" t="s">
        <v>41</v>
      </c>
    </row>
    <row r="80" spans="1:5" ht="10.15" customHeight="1">
      <c r="A80" s="461" t="s">
        <v>389</v>
      </c>
      <c r="B80" s="461" t="s">
        <v>390</v>
      </c>
      <c r="C80" s="461" t="s">
        <v>336</v>
      </c>
      <c r="D80" s="461" t="s">
        <v>166</v>
      </c>
      <c r="E80" s="461" t="s">
        <v>42</v>
      </c>
    </row>
    <row r="81" spans="1:5" ht="10.15" customHeight="1">
      <c r="A81" s="462" t="s">
        <v>391</v>
      </c>
      <c r="B81" s="462" t="s">
        <v>392</v>
      </c>
      <c r="C81" s="462" t="s">
        <v>336</v>
      </c>
      <c r="D81" s="462" t="s">
        <v>166</v>
      </c>
      <c r="E81" s="462" t="s">
        <v>42</v>
      </c>
    </row>
    <row r="82" spans="1:5" ht="10.15" customHeight="1">
      <c r="A82" s="461" t="s">
        <v>393</v>
      </c>
      <c r="B82" s="461" t="s">
        <v>394</v>
      </c>
      <c r="C82" s="461" t="s">
        <v>336</v>
      </c>
      <c r="D82" s="461" t="s">
        <v>166</v>
      </c>
      <c r="E82" s="461" t="s">
        <v>42</v>
      </c>
    </row>
    <row r="83" spans="1:5" ht="10.15" customHeight="1">
      <c r="A83" s="462" t="s">
        <v>395</v>
      </c>
      <c r="B83" s="462" t="s">
        <v>396</v>
      </c>
      <c r="C83" s="462" t="s">
        <v>336</v>
      </c>
      <c r="D83" s="462" t="s">
        <v>166</v>
      </c>
      <c r="E83" s="462" t="s">
        <v>42</v>
      </c>
    </row>
    <row r="84" spans="1:5" ht="10.15" customHeight="1">
      <c r="A84" s="461" t="s">
        <v>397</v>
      </c>
      <c r="B84" s="461" t="s">
        <v>398</v>
      </c>
      <c r="C84" s="461" t="s">
        <v>336</v>
      </c>
      <c r="D84" s="461" t="s">
        <v>166</v>
      </c>
      <c r="E84" s="461" t="s">
        <v>42</v>
      </c>
    </row>
    <row r="85" spans="1:5" ht="10.15" customHeight="1">
      <c r="A85" s="462" t="s">
        <v>399</v>
      </c>
      <c r="B85" s="462" t="s">
        <v>400</v>
      </c>
      <c r="C85" s="462" t="s">
        <v>336</v>
      </c>
      <c r="D85" s="462" t="s">
        <v>166</v>
      </c>
      <c r="E85" s="462" t="s">
        <v>42</v>
      </c>
    </row>
    <row r="86" spans="1:5" ht="10.15" customHeight="1">
      <c r="A86" s="461" t="s">
        <v>401</v>
      </c>
      <c r="B86" s="461" t="s">
        <v>402</v>
      </c>
      <c r="C86" s="461" t="s">
        <v>336</v>
      </c>
      <c r="D86" s="461" t="s">
        <v>166</v>
      </c>
      <c r="E86" s="461" t="s">
        <v>42</v>
      </c>
    </row>
    <row r="87" spans="1:5" ht="10.15" customHeight="1">
      <c r="A87" s="462" t="s">
        <v>403</v>
      </c>
      <c r="B87" s="462" t="s">
        <v>404</v>
      </c>
      <c r="C87" s="462" t="s">
        <v>336</v>
      </c>
      <c r="D87" s="462" t="s">
        <v>166</v>
      </c>
      <c r="E87" s="462" t="s">
        <v>42</v>
      </c>
    </row>
    <row r="88" spans="1:5" ht="10.15" customHeight="1">
      <c r="A88" s="461" t="s">
        <v>405</v>
      </c>
      <c r="B88" s="461" t="s">
        <v>406</v>
      </c>
      <c r="C88" s="461" t="s">
        <v>336</v>
      </c>
      <c r="D88" s="461" t="s">
        <v>166</v>
      </c>
      <c r="E88" s="461" t="s">
        <v>42</v>
      </c>
    </row>
    <row r="89" spans="1:5" ht="10.15" customHeight="1">
      <c r="A89" s="462" t="s">
        <v>407</v>
      </c>
      <c r="B89" s="462" t="s">
        <v>408</v>
      </c>
      <c r="C89" s="462" t="s">
        <v>336</v>
      </c>
      <c r="D89" s="462" t="s">
        <v>166</v>
      </c>
      <c r="E89" s="462" t="s">
        <v>42</v>
      </c>
    </row>
    <row r="90" spans="1:5" ht="10.15" customHeight="1">
      <c r="A90" s="461" t="s">
        <v>409</v>
      </c>
      <c r="B90" s="461" t="s">
        <v>410</v>
      </c>
      <c r="C90" s="461" t="s">
        <v>336</v>
      </c>
      <c r="D90" s="461" t="s">
        <v>166</v>
      </c>
      <c r="E90" s="461" t="s">
        <v>42</v>
      </c>
    </row>
    <row r="91" spans="1:5" ht="10.15" customHeight="1">
      <c r="A91" s="462" t="s">
        <v>411</v>
      </c>
      <c r="B91" s="462" t="s">
        <v>412</v>
      </c>
      <c r="C91" s="462" t="s">
        <v>336</v>
      </c>
      <c r="D91" s="462" t="s">
        <v>166</v>
      </c>
      <c r="E91" s="462" t="s">
        <v>42</v>
      </c>
    </row>
    <row r="92" spans="1:5" ht="10.15" customHeight="1">
      <c r="A92" s="461" t="s">
        <v>413</v>
      </c>
      <c r="B92" s="461" t="s">
        <v>414</v>
      </c>
      <c r="C92" s="461" t="s">
        <v>336</v>
      </c>
      <c r="D92" s="461" t="s">
        <v>415</v>
      </c>
      <c r="E92" s="461" t="s">
        <v>42</v>
      </c>
    </row>
    <row r="93" spans="1:5" ht="10.15" customHeight="1">
      <c r="A93" s="462" t="s">
        <v>416</v>
      </c>
      <c r="B93" s="462" t="s">
        <v>417</v>
      </c>
      <c r="C93" s="462" t="s">
        <v>336</v>
      </c>
      <c r="D93" s="462" t="s">
        <v>415</v>
      </c>
      <c r="E93" s="462" t="s">
        <v>42</v>
      </c>
    </row>
    <row r="94" spans="1:5" ht="10.15" customHeight="1">
      <c r="A94" s="461" t="s">
        <v>418</v>
      </c>
      <c r="B94" s="461" t="s">
        <v>419</v>
      </c>
      <c r="C94" s="461" t="s">
        <v>336</v>
      </c>
      <c r="D94" s="461" t="s">
        <v>415</v>
      </c>
      <c r="E94" s="461" t="s">
        <v>42</v>
      </c>
    </row>
    <row r="95" spans="1:5" ht="10.15" customHeight="1">
      <c r="A95" s="462" t="s">
        <v>420</v>
      </c>
      <c r="B95" s="462" t="s">
        <v>421</v>
      </c>
      <c r="C95" s="462" t="s">
        <v>336</v>
      </c>
      <c r="D95" s="462" t="s">
        <v>415</v>
      </c>
      <c r="E95" s="462" t="s">
        <v>42</v>
      </c>
    </row>
    <row r="96" spans="1:5" ht="10.15" customHeight="1">
      <c r="A96" s="461" t="s">
        <v>422</v>
      </c>
      <c r="B96" s="461" t="s">
        <v>423</v>
      </c>
      <c r="C96" s="461" t="s">
        <v>336</v>
      </c>
      <c r="D96" s="461" t="s">
        <v>415</v>
      </c>
      <c r="E96" s="461" t="s">
        <v>42</v>
      </c>
    </row>
    <row r="97" spans="1:5" ht="10.15" customHeight="1">
      <c r="A97" s="462" t="s">
        <v>424</v>
      </c>
      <c r="B97" s="462" t="s">
        <v>359</v>
      </c>
      <c r="C97" s="462" t="s">
        <v>336</v>
      </c>
      <c r="D97" s="462" t="s">
        <v>163</v>
      </c>
      <c r="E97" s="462" t="s">
        <v>40</v>
      </c>
    </row>
    <row r="98" spans="1:5" ht="10.15" customHeight="1">
      <c r="A98" s="461" t="s">
        <v>425</v>
      </c>
      <c r="B98" s="461" t="s">
        <v>426</v>
      </c>
      <c r="C98" s="461" t="s">
        <v>336</v>
      </c>
      <c r="D98" s="461" t="s">
        <v>163</v>
      </c>
      <c r="E98" s="461" t="s">
        <v>40</v>
      </c>
    </row>
    <row r="99" spans="1:5" ht="10.15" customHeight="1">
      <c r="A99" s="462" t="s">
        <v>427</v>
      </c>
      <c r="B99" s="462" t="s">
        <v>428</v>
      </c>
      <c r="C99" s="462" t="s">
        <v>336</v>
      </c>
      <c r="D99" s="462" t="s">
        <v>165</v>
      </c>
      <c r="E99" s="462" t="s">
        <v>42</v>
      </c>
    </row>
    <row r="100" spans="1:5" ht="10.15" customHeight="1">
      <c r="A100" s="461" t="s">
        <v>429</v>
      </c>
      <c r="B100" s="461" t="s">
        <v>430</v>
      </c>
      <c r="C100" s="461" t="s">
        <v>336</v>
      </c>
      <c r="D100" s="461" t="s">
        <v>165</v>
      </c>
      <c r="E100" s="461" t="s">
        <v>42</v>
      </c>
    </row>
    <row r="101" spans="1:5" ht="10.15" customHeight="1">
      <c r="A101" s="462" t="s">
        <v>431</v>
      </c>
      <c r="B101" s="462" t="s">
        <v>432</v>
      </c>
      <c r="C101" s="462" t="s">
        <v>336</v>
      </c>
      <c r="D101" s="462" t="s">
        <v>165</v>
      </c>
      <c r="E101" s="462" t="s">
        <v>42</v>
      </c>
    </row>
    <row r="102" spans="1:5" ht="10.15" customHeight="1">
      <c r="A102" s="461" t="s">
        <v>433</v>
      </c>
      <c r="B102" s="461" t="s">
        <v>434</v>
      </c>
      <c r="C102" s="461" t="s">
        <v>336</v>
      </c>
      <c r="D102" s="461" t="s">
        <v>165</v>
      </c>
      <c r="E102" s="461" t="s">
        <v>42</v>
      </c>
    </row>
    <row r="103" spans="1:5" ht="10.15" customHeight="1">
      <c r="A103" s="462" t="s">
        <v>435</v>
      </c>
      <c r="B103" s="462" t="s">
        <v>436</v>
      </c>
      <c r="C103" s="462" t="s">
        <v>336</v>
      </c>
      <c r="D103" s="462" t="s">
        <v>165</v>
      </c>
      <c r="E103" s="462" t="s">
        <v>42</v>
      </c>
    </row>
    <row r="104" spans="1:5" ht="10.15" customHeight="1">
      <c r="A104" s="461" t="s">
        <v>437</v>
      </c>
      <c r="B104" s="461" t="s">
        <v>438</v>
      </c>
      <c r="C104" s="461" t="s">
        <v>336</v>
      </c>
      <c r="D104" s="461" t="s">
        <v>165</v>
      </c>
      <c r="E104" s="461" t="s">
        <v>42</v>
      </c>
    </row>
    <row r="105" spans="1:5" ht="10.15" customHeight="1">
      <c r="A105" s="462" t="s">
        <v>439</v>
      </c>
      <c r="B105" s="462" t="s">
        <v>440</v>
      </c>
      <c r="C105" s="462" t="s">
        <v>336</v>
      </c>
      <c r="D105" s="462" t="s">
        <v>165</v>
      </c>
      <c r="E105" s="462" t="s">
        <v>42</v>
      </c>
    </row>
    <row r="106" spans="1:5" ht="10.15" customHeight="1">
      <c r="A106" s="461" t="s">
        <v>441</v>
      </c>
      <c r="B106" s="461" t="s">
        <v>442</v>
      </c>
      <c r="C106" s="461" t="s">
        <v>336</v>
      </c>
      <c r="D106" s="461" t="s">
        <v>165</v>
      </c>
      <c r="E106" s="461" t="s">
        <v>42</v>
      </c>
    </row>
    <row r="107" spans="1:5" ht="10.15" customHeight="1">
      <c r="A107" s="462" t="s">
        <v>443</v>
      </c>
      <c r="B107" s="462" t="s">
        <v>444</v>
      </c>
      <c r="C107" s="462" t="s">
        <v>336</v>
      </c>
      <c r="D107" s="462" t="s">
        <v>165</v>
      </c>
      <c r="E107" s="462" t="s">
        <v>42</v>
      </c>
    </row>
    <row r="108" spans="1:5" ht="10.15" customHeight="1">
      <c r="A108" s="461" t="s">
        <v>445</v>
      </c>
      <c r="B108" s="461" t="s">
        <v>446</v>
      </c>
      <c r="C108" s="461" t="s">
        <v>336</v>
      </c>
      <c r="D108" s="461" t="s">
        <v>165</v>
      </c>
      <c r="E108" s="461" t="s">
        <v>42</v>
      </c>
    </row>
    <row r="109" spans="1:5" ht="10.15" customHeight="1">
      <c r="A109" s="462" t="s">
        <v>447</v>
      </c>
      <c r="B109" s="462" t="s">
        <v>448</v>
      </c>
      <c r="C109" s="462" t="s">
        <v>336</v>
      </c>
      <c r="D109" s="462" t="s">
        <v>165</v>
      </c>
      <c r="E109" s="462" t="s">
        <v>42</v>
      </c>
    </row>
    <row r="110" spans="1:5" ht="10.15" customHeight="1">
      <c r="A110" s="461" t="s">
        <v>449</v>
      </c>
      <c r="B110" s="461" t="s">
        <v>450</v>
      </c>
      <c r="C110" s="461" t="s">
        <v>336</v>
      </c>
      <c r="D110" s="461" t="s">
        <v>165</v>
      </c>
      <c r="E110" s="461" t="s">
        <v>42</v>
      </c>
    </row>
    <row r="111" spans="1:5" ht="10.15" customHeight="1">
      <c r="A111" s="462" t="s">
        <v>451</v>
      </c>
      <c r="B111" s="462" t="s">
        <v>452</v>
      </c>
      <c r="C111" s="462" t="s">
        <v>336</v>
      </c>
      <c r="D111" s="462" t="s">
        <v>165</v>
      </c>
      <c r="E111" s="462" t="s">
        <v>42</v>
      </c>
    </row>
    <row r="112" spans="1:5" ht="10.15" customHeight="1">
      <c r="A112" s="461" t="s">
        <v>453</v>
      </c>
      <c r="B112" s="461" t="s">
        <v>454</v>
      </c>
      <c r="C112" s="461" t="s">
        <v>336</v>
      </c>
      <c r="D112" s="461" t="s">
        <v>165</v>
      </c>
      <c r="E112" s="461" t="s">
        <v>42</v>
      </c>
    </row>
    <row r="113" spans="1:5" ht="10.15" customHeight="1">
      <c r="A113" s="462" t="s">
        <v>455</v>
      </c>
      <c r="B113" s="462" t="s">
        <v>456</v>
      </c>
      <c r="C113" s="462" t="s">
        <v>336</v>
      </c>
      <c r="D113" s="462" t="s">
        <v>165</v>
      </c>
      <c r="E113" s="462" t="s">
        <v>42</v>
      </c>
    </row>
    <row r="114" spans="1:5" ht="10.15" customHeight="1">
      <c r="A114" s="461" t="s">
        <v>457</v>
      </c>
      <c r="B114" s="461" t="s">
        <v>458</v>
      </c>
      <c r="C114" s="461" t="s">
        <v>336</v>
      </c>
      <c r="D114" s="461" t="s">
        <v>165</v>
      </c>
      <c r="E114" s="461" t="s">
        <v>42</v>
      </c>
    </row>
    <row r="115" spans="1:5" ht="10.15" customHeight="1">
      <c r="A115" s="462" t="s">
        <v>459</v>
      </c>
      <c r="B115" s="462" t="s">
        <v>460</v>
      </c>
      <c r="C115" s="462" t="s">
        <v>336</v>
      </c>
      <c r="D115" s="462" t="s">
        <v>165</v>
      </c>
      <c r="E115" s="462" t="s">
        <v>42</v>
      </c>
    </row>
    <row r="116" spans="1:5" ht="10.15" customHeight="1">
      <c r="A116" s="461" t="s">
        <v>461</v>
      </c>
      <c r="B116" s="461" t="s">
        <v>462</v>
      </c>
      <c r="C116" s="461" t="s">
        <v>336</v>
      </c>
      <c r="D116" s="461" t="s">
        <v>165</v>
      </c>
      <c r="E116" s="461" t="s">
        <v>42</v>
      </c>
    </row>
    <row r="117" spans="1:5" ht="10.15" customHeight="1">
      <c r="A117" s="462" t="s">
        <v>463</v>
      </c>
      <c r="B117" s="462" t="s">
        <v>464</v>
      </c>
      <c r="C117" s="462" t="s">
        <v>336</v>
      </c>
      <c r="D117" s="462" t="s">
        <v>165</v>
      </c>
      <c r="E117" s="462" t="s">
        <v>42</v>
      </c>
    </row>
    <row r="118" spans="1:5" ht="10.15" customHeight="1">
      <c r="A118" s="461" t="s">
        <v>465</v>
      </c>
      <c r="B118" s="461" t="s">
        <v>466</v>
      </c>
      <c r="C118" s="461" t="s">
        <v>336</v>
      </c>
      <c r="D118" s="461" t="s">
        <v>165</v>
      </c>
      <c r="E118" s="461" t="s">
        <v>42</v>
      </c>
    </row>
    <row r="119" spans="1:5" ht="10.15" customHeight="1">
      <c r="A119" s="462" t="s">
        <v>467</v>
      </c>
      <c r="B119" s="462" t="s">
        <v>468</v>
      </c>
      <c r="C119" s="462" t="s">
        <v>336</v>
      </c>
      <c r="D119" s="462" t="s">
        <v>165</v>
      </c>
      <c r="E119" s="462" t="s">
        <v>42</v>
      </c>
    </row>
    <row r="120" spans="1:5" ht="10.15" customHeight="1">
      <c r="A120" s="461" t="s">
        <v>469</v>
      </c>
      <c r="B120" s="461" t="s">
        <v>470</v>
      </c>
      <c r="C120" s="461" t="s">
        <v>336</v>
      </c>
      <c r="D120" s="461" t="s">
        <v>165</v>
      </c>
      <c r="E120" s="461" t="s">
        <v>42</v>
      </c>
    </row>
    <row r="121" spans="1:5" ht="10.15" customHeight="1">
      <c r="A121" s="462" t="s">
        <v>471</v>
      </c>
      <c r="B121" s="462" t="s">
        <v>472</v>
      </c>
      <c r="C121" s="462" t="s">
        <v>336</v>
      </c>
      <c r="D121" s="462" t="s">
        <v>165</v>
      </c>
      <c r="E121" s="462" t="s">
        <v>42</v>
      </c>
    </row>
    <row r="122" spans="1:5" ht="10.15" customHeight="1">
      <c r="A122" s="461" t="s">
        <v>473</v>
      </c>
      <c r="B122" s="461" t="s">
        <v>474</v>
      </c>
      <c r="C122" s="461" t="s">
        <v>336</v>
      </c>
      <c r="D122" s="461" t="s">
        <v>165</v>
      </c>
      <c r="E122" s="461" t="s">
        <v>42</v>
      </c>
    </row>
    <row r="123" spans="1:5" ht="10.15" customHeight="1">
      <c r="A123" s="462" t="s">
        <v>475</v>
      </c>
      <c r="B123" s="462" t="s">
        <v>476</v>
      </c>
      <c r="C123" s="462" t="s">
        <v>336</v>
      </c>
      <c r="D123" s="462" t="s">
        <v>165</v>
      </c>
      <c r="E123" s="462" t="s">
        <v>42</v>
      </c>
    </row>
    <row r="124" spans="1:5" ht="10.15" customHeight="1">
      <c r="A124" s="461" t="s">
        <v>477</v>
      </c>
      <c r="B124" s="461" t="s">
        <v>478</v>
      </c>
      <c r="C124" s="461" t="s">
        <v>336</v>
      </c>
      <c r="D124" s="461" t="s">
        <v>165</v>
      </c>
      <c r="E124" s="461" t="s">
        <v>42</v>
      </c>
    </row>
    <row r="125" spans="1:5" ht="10.15" customHeight="1">
      <c r="A125" s="462" t="s">
        <v>479</v>
      </c>
      <c r="B125" s="462" t="s">
        <v>480</v>
      </c>
      <c r="C125" s="462" t="s">
        <v>336</v>
      </c>
      <c r="D125" s="462" t="s">
        <v>165</v>
      </c>
      <c r="E125" s="462" t="s">
        <v>42</v>
      </c>
    </row>
    <row r="126" spans="1:5" ht="10.15" customHeight="1">
      <c r="A126" s="461" t="s">
        <v>481</v>
      </c>
      <c r="B126" s="461" t="s">
        <v>482</v>
      </c>
      <c r="C126" s="461" t="s">
        <v>336</v>
      </c>
      <c r="D126" s="461" t="s">
        <v>165</v>
      </c>
      <c r="E126" s="461" t="s">
        <v>42</v>
      </c>
    </row>
    <row r="127" spans="1:5" ht="10.15" customHeight="1">
      <c r="A127" s="462" t="s">
        <v>483</v>
      </c>
      <c r="B127" s="462" t="s">
        <v>484</v>
      </c>
      <c r="C127" s="462" t="s">
        <v>336</v>
      </c>
      <c r="D127" s="462" t="s">
        <v>165</v>
      </c>
      <c r="E127" s="462" t="s">
        <v>42</v>
      </c>
    </row>
    <row r="128" spans="1:5" ht="10.15" customHeight="1">
      <c r="A128" s="461" t="s">
        <v>485</v>
      </c>
      <c r="B128" s="461" t="s">
        <v>486</v>
      </c>
      <c r="C128" s="461" t="s">
        <v>336</v>
      </c>
      <c r="D128" s="461" t="s">
        <v>164</v>
      </c>
      <c r="E128" s="461" t="s">
        <v>40</v>
      </c>
    </row>
    <row r="129" spans="1:5" ht="10.15" customHeight="1">
      <c r="A129" s="462" t="s">
        <v>487</v>
      </c>
      <c r="B129" s="462" t="s">
        <v>488</v>
      </c>
      <c r="C129" s="462" t="s">
        <v>336</v>
      </c>
      <c r="D129" s="462" t="s">
        <v>164</v>
      </c>
      <c r="E129" s="462" t="s">
        <v>40</v>
      </c>
    </row>
    <row r="130" spans="1:5" ht="10.15" customHeight="1">
      <c r="A130" s="461" t="s">
        <v>489</v>
      </c>
      <c r="B130" s="461" t="s">
        <v>490</v>
      </c>
      <c r="C130" s="461" t="s">
        <v>336</v>
      </c>
      <c r="D130" s="461" t="s">
        <v>164</v>
      </c>
      <c r="E130" s="461" t="s">
        <v>40</v>
      </c>
    </row>
    <row r="131" spans="1:5" ht="10.15" customHeight="1">
      <c r="A131" s="462" t="s">
        <v>491</v>
      </c>
      <c r="B131" s="462" t="s">
        <v>492</v>
      </c>
      <c r="C131" s="462" t="s">
        <v>336</v>
      </c>
      <c r="D131" s="462" t="s">
        <v>164</v>
      </c>
      <c r="E131" s="462" t="s">
        <v>40</v>
      </c>
    </row>
    <row r="132" spans="1:5" ht="10.15" customHeight="1">
      <c r="A132" s="163" t="s">
        <v>502</v>
      </c>
      <c r="E132" s="106" t="s">
        <v>42</v>
      </c>
    </row>
    <row r="133" spans="1:5" ht="10.15" customHeight="1"/>
    <row r="134" spans="1:5" ht="10.15" customHeight="1"/>
    <row r="135" spans="1:5" ht="10.15" customHeight="1"/>
    <row r="136" spans="1:5" ht="10.15" customHeight="1"/>
    <row r="137" spans="1:5" ht="10.15" customHeight="1"/>
  </sheetData>
  <mergeCells count="4">
    <mergeCell ref="A27:N27"/>
    <mergeCell ref="B42:E42"/>
    <mergeCell ref="A1:N1"/>
    <mergeCell ref="A40:N40"/>
  </mergeCells>
  <pageMargins left="1.2201388888888889" right="0.23611111111111113" top="0.78472222222222221" bottom="0.43333333333333335" header="0.19652777777777777" footer="0.15763888888888888"/>
  <pageSetup paperSize="9" scale="82" firstPageNumber="0" fitToHeight="10" orientation="portrait" horizontalDpi="300" verticalDpi="300" r:id="rId1"/>
  <headerFooter alignWithMargins="0">
    <oddHeader>&amp;RTabulka &amp;A</oddHeader>
    <oddFooter>&amp;C&amp;F&amp;R&amp;P/&amp;N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"/>
  <sheetViews>
    <sheetView showZeros="0" zoomScaleNormal="100" workbookViewId="0">
      <selection activeCell="D3" sqref="D3"/>
    </sheetView>
  </sheetViews>
  <sheetFormatPr defaultColWidth="8.7109375" defaultRowHeight="10.15" customHeight="1"/>
  <cols>
    <col min="1" max="1" width="8.7109375" style="111"/>
    <col min="2" max="3" width="10.42578125" style="111" customWidth="1"/>
    <col min="4" max="4" width="11.28515625" style="111" customWidth="1"/>
    <col min="5" max="5" width="14.28515625" style="111" customWidth="1"/>
    <col min="6" max="16384" width="8.7109375" style="111"/>
  </cols>
  <sheetData>
    <row r="1" spans="1:15" ht="49.15" customHeight="1">
      <c r="A1" s="182"/>
      <c r="B1" s="181" t="s">
        <v>194</v>
      </c>
      <c r="C1" s="181" t="s">
        <v>176</v>
      </c>
      <c r="D1" s="181" t="s">
        <v>190</v>
      </c>
      <c r="E1" s="180" t="s">
        <v>196</v>
      </c>
    </row>
    <row r="2" spans="1:15" ht="10.15" customHeight="1">
      <c r="A2" s="179" t="s">
        <v>39</v>
      </c>
      <c r="B2" s="178">
        <f>VČ_B_data!B6</f>
        <v>2</v>
      </c>
      <c r="C2" s="178">
        <f>VČ_B_data!F45</f>
        <v>10</v>
      </c>
      <c r="D2" s="177">
        <f>VČ_B_data!B33/VČ_B_data!$B$38*VČ_B_přehled!$D$11</f>
        <v>1.6046341463414631</v>
      </c>
      <c r="E2" s="176">
        <f>SUM(B2:D2)*'Vzdělávací činnost'!$C$6/SUM($B$7:$D$7)</f>
        <v>627950.80257551372</v>
      </c>
    </row>
    <row r="3" spans="1:15" ht="10.15" customHeight="1">
      <c r="A3" s="179" t="s">
        <v>52</v>
      </c>
      <c r="B3" s="178">
        <f>VČ_B_data!B7</f>
        <v>3</v>
      </c>
      <c r="C3" s="178">
        <f>VČ_B_data!F46</f>
        <v>0</v>
      </c>
      <c r="D3" s="177">
        <f>VČ_B_data!B34/VČ_B_data!$B$38*VČ_B_přehled!$D$11</f>
        <v>2.9260975609756095</v>
      </c>
      <c r="E3" s="176">
        <f>SUM(B3:D3)*'Vzdělávací činnost'!$C$6/SUM($B$7:$D$7)</f>
        <v>273531.62749739608</v>
      </c>
    </row>
    <row r="4" spans="1:15" ht="10.15" customHeight="1">
      <c r="A4" s="179" t="s">
        <v>41</v>
      </c>
      <c r="B4" s="178">
        <f>VČ_B_data!B8</f>
        <v>1</v>
      </c>
      <c r="C4" s="178">
        <f>VČ_B_data!F47</f>
        <v>18</v>
      </c>
      <c r="D4" s="177">
        <f>VČ_B_data!B35/VČ_B_data!$B$38*VČ_B_přehled!$D$11</f>
        <v>4.2475609756097557</v>
      </c>
      <c r="E4" s="176">
        <f>SUM(B4:D4)*'Vzdělávací činnost'!$C$6/SUM($B$7:$D$7)</f>
        <v>1073040.5842249787</v>
      </c>
    </row>
    <row r="5" spans="1:15" ht="10.15" customHeight="1">
      <c r="A5" s="179" t="s">
        <v>42</v>
      </c>
      <c r="B5" s="178">
        <f>VČ_B_data!B9</f>
        <v>6</v>
      </c>
      <c r="C5" s="178">
        <f>VČ_B_data!F48</f>
        <v>47</v>
      </c>
      <c r="D5" s="177">
        <f>VČ_B_data!B36/VČ_B_data!$B$38*VČ_B_přehled!$D$11</f>
        <v>1.8878048780487804</v>
      </c>
      <c r="E5" s="176">
        <f>SUM(B5:D5)*'Vzdělávací činnost'!$C$6/SUM($B$7:$D$7)</f>
        <v>2533463.2856737054</v>
      </c>
    </row>
    <row r="6" spans="1:15" ht="10.15" customHeight="1">
      <c r="A6" s="179" t="s">
        <v>40</v>
      </c>
      <c r="B6" s="178">
        <f>VČ_B_data!B10</f>
        <v>1</v>
      </c>
      <c r="C6" s="178">
        <f>VČ_B_data!F49</f>
        <v>6</v>
      </c>
      <c r="D6" s="177">
        <f>VČ_B_data!B37/VČ_B_data!$B$38*VČ_B_přehled!$D$11</f>
        <v>0.94390243902439019</v>
      </c>
      <c r="E6" s="176">
        <f>SUM(B6:D6)*'Vzdělávací činnost'!$C$6/SUM($B$7:$D$7)</f>
        <v>366667.7000284064</v>
      </c>
    </row>
    <row r="7" spans="1:15" ht="10.15" customHeight="1" thickBot="1">
      <c r="A7" s="175" t="s">
        <v>195</v>
      </c>
      <c r="B7" s="174">
        <f>SUM(B2:B6)</f>
        <v>13</v>
      </c>
      <c r="C7" s="174">
        <f>SUM(C2:C6)</f>
        <v>81</v>
      </c>
      <c r="D7" s="173">
        <f>SUM(D2:D6)</f>
        <v>11.609999999999998</v>
      </c>
      <c r="E7" s="172">
        <f>SUM(E2:E6)</f>
        <v>4874654</v>
      </c>
      <c r="O7" s="171"/>
    </row>
    <row r="10" spans="1:15" ht="10.15" customHeight="1">
      <c r="A10" s="170" t="s">
        <v>154</v>
      </c>
      <c r="B10" s="169"/>
      <c r="C10" s="169"/>
      <c r="D10" s="168"/>
      <c r="E10" s="167"/>
    </row>
    <row r="11" spans="1:15" ht="10.15" customHeight="1">
      <c r="A11" s="111" t="s">
        <v>131</v>
      </c>
      <c r="B11" s="111">
        <v>11</v>
      </c>
      <c r="C11" s="111">
        <v>81</v>
      </c>
      <c r="D11" s="111">
        <v>11.61</v>
      </c>
    </row>
  </sheetData>
  <pageMargins left="1.3298611111111112" right="0.74791666666666667" top="1.7604166666666665" bottom="0.98402777777777783" header="0.62013888888888891" footer="0.49236111111111114"/>
  <pageSetup paperSize="9" scale="125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55"/>
  <sheetViews>
    <sheetView showZeros="0" zoomScaleNormal="100" workbookViewId="0">
      <selection activeCell="N36" sqref="N36"/>
    </sheetView>
  </sheetViews>
  <sheetFormatPr defaultColWidth="7.42578125" defaultRowHeight="10.15" customHeight="1"/>
  <cols>
    <col min="1" max="1" width="13.7109375" style="207" customWidth="1"/>
    <col min="2" max="2" width="9" style="207" customWidth="1"/>
    <col min="3" max="3" width="8.28515625" style="207" customWidth="1"/>
    <col min="4" max="4" width="8.42578125" style="207" customWidth="1"/>
    <col min="5" max="5" width="8" style="207" customWidth="1"/>
    <col min="6" max="6" width="8.7109375" style="207" bestFit="1" customWidth="1"/>
    <col min="7" max="8" width="7.42578125" style="207" customWidth="1"/>
    <col min="9" max="9" width="8" style="207" customWidth="1"/>
    <col min="10" max="10" width="9.7109375" style="207" customWidth="1"/>
    <col min="11" max="12" width="7.7109375" style="207" customWidth="1"/>
    <col min="13" max="13" width="7.140625" style="207" customWidth="1"/>
    <col min="14" max="15" width="7.42578125" style="207" customWidth="1"/>
    <col min="16" max="16" width="8.42578125" style="207" customWidth="1"/>
    <col min="17" max="17" width="7.140625" style="207" customWidth="1"/>
    <col min="18" max="18" width="7.42578125" style="207"/>
    <col min="19" max="19" width="8" style="207" customWidth="1"/>
    <col min="20" max="20" width="9.42578125" style="207" customWidth="1"/>
    <col min="21" max="21" width="10" style="207" customWidth="1"/>
    <col min="22" max="22" width="8.42578125" style="207" customWidth="1"/>
    <col min="23" max="23" width="7.42578125" style="207" customWidth="1"/>
    <col min="24" max="24" width="5.7109375" style="207" customWidth="1"/>
    <col min="25" max="25" width="9.28515625" style="207" bestFit="1" customWidth="1"/>
    <col min="26" max="26" width="7.42578125" style="207"/>
    <col min="27" max="27" width="17.140625" style="207" customWidth="1"/>
    <col min="28" max="28" width="18.42578125" style="207" customWidth="1"/>
    <col min="29" max="29" width="14.42578125" style="207" customWidth="1"/>
    <col min="30" max="16384" width="7.42578125" style="207"/>
  </cols>
  <sheetData>
    <row r="1" spans="1:22" ht="14.25" customHeight="1">
      <c r="A1" s="290"/>
      <c r="B1" s="719" t="s">
        <v>210</v>
      </c>
      <c r="C1" s="711"/>
      <c r="D1" s="711"/>
      <c r="E1" s="720"/>
      <c r="F1" s="710" t="s">
        <v>209</v>
      </c>
      <c r="G1" s="711"/>
      <c r="H1" s="711"/>
      <c r="I1" s="712"/>
      <c r="J1" s="713" t="s">
        <v>208</v>
      </c>
      <c r="K1" s="714"/>
      <c r="L1" s="714"/>
      <c r="M1" s="715"/>
      <c r="N1" s="716" t="s">
        <v>207</v>
      </c>
      <c r="O1" s="714"/>
      <c r="P1" s="714"/>
      <c r="Q1" s="717"/>
      <c r="R1" s="713" t="s">
        <v>206</v>
      </c>
      <c r="S1" s="715"/>
      <c r="T1" s="716" t="s">
        <v>205</v>
      </c>
      <c r="U1" s="715"/>
    </row>
    <row r="2" spans="1:22" ht="18">
      <c r="A2" s="291"/>
      <c r="B2" s="292">
        <v>2016</v>
      </c>
      <c r="C2" s="293">
        <v>2015</v>
      </c>
      <c r="D2" s="293">
        <v>2014</v>
      </c>
      <c r="E2" s="294" t="s">
        <v>200</v>
      </c>
      <c r="F2" s="295">
        <v>2017</v>
      </c>
      <c r="G2" s="293">
        <v>2016</v>
      </c>
      <c r="H2" s="293">
        <v>2015</v>
      </c>
      <c r="I2" s="296" t="s">
        <v>200</v>
      </c>
      <c r="J2" s="292">
        <v>2017</v>
      </c>
      <c r="K2" s="293">
        <v>2016</v>
      </c>
      <c r="L2" s="293">
        <v>2015</v>
      </c>
      <c r="M2" s="294" t="s">
        <v>200</v>
      </c>
      <c r="N2" s="295">
        <v>2017</v>
      </c>
      <c r="O2" s="293">
        <v>2016</v>
      </c>
      <c r="P2" s="293">
        <v>2015</v>
      </c>
      <c r="Q2" s="296" t="s">
        <v>200</v>
      </c>
      <c r="R2" s="292" t="s">
        <v>201</v>
      </c>
      <c r="S2" s="294" t="s">
        <v>200</v>
      </c>
      <c r="T2" s="297" t="s">
        <v>327</v>
      </c>
      <c r="U2" s="294" t="s">
        <v>200</v>
      </c>
    </row>
    <row r="3" spans="1:22" ht="10.9" customHeight="1">
      <c r="A3" s="298" t="s">
        <v>199</v>
      </c>
      <c r="B3" s="299"/>
      <c r="C3" s="300"/>
      <c r="D3" s="300"/>
      <c r="E3" s="301"/>
      <c r="F3" s="302"/>
      <c r="G3" s="300"/>
      <c r="H3" s="300"/>
      <c r="I3" s="303"/>
      <c r="J3" s="304"/>
      <c r="K3" s="305"/>
      <c r="L3" s="305"/>
      <c r="M3" s="301"/>
      <c r="N3" s="302"/>
      <c r="O3" s="300"/>
      <c r="P3" s="300"/>
      <c r="Q3" s="303"/>
      <c r="R3" s="299"/>
      <c r="S3" s="301"/>
      <c r="T3" s="302"/>
      <c r="U3" s="301"/>
      <c r="V3" s="306"/>
    </row>
    <row r="4" spans="1:22" ht="10.9" customHeight="1">
      <c r="A4" s="362" t="s">
        <v>39</v>
      </c>
      <c r="B4" s="363">
        <f>B12/B$17*B$19</f>
        <v>24086.314561499505</v>
      </c>
      <c r="C4" s="364">
        <v>20709.99121801756</v>
      </c>
      <c r="D4" s="364">
        <v>17042.598032650607</v>
      </c>
      <c r="E4" s="307">
        <f>(B4/B$9*$C$42+C4/C$9*$D$42+D4/D$9*$E$42)/10</f>
        <v>0.41995488145136795</v>
      </c>
      <c r="F4" s="365">
        <f>F12/F$17*F$19</f>
        <v>6780.5088912000838</v>
      </c>
      <c r="G4" s="364">
        <v>13245.900292448703</v>
      </c>
      <c r="H4" s="364">
        <v>11898.697193323776</v>
      </c>
      <c r="I4" s="308">
        <f>(F4/F$9*$C$42+G4/G$9*$D$42+H4/H$9*$E$42)/10</f>
        <v>0.29140240246368532</v>
      </c>
      <c r="J4" s="366">
        <f>J12/J$17*J$19</f>
        <v>39.294170656153192</v>
      </c>
      <c r="K4" s="367">
        <v>35.809205754352028</v>
      </c>
      <c r="L4" s="367">
        <v>29.809734930830036</v>
      </c>
      <c r="M4" s="307">
        <f>(J4/J$9*$C$42+K4/K$9*$D$42+L4/L$9*$E$42)/10</f>
        <v>0.33683659391601212</v>
      </c>
      <c r="N4" s="365">
        <f>N12/N$17*N$19</f>
        <v>147.56</v>
      </c>
      <c r="O4" s="320">
        <v>154</v>
      </c>
      <c r="P4" s="364">
        <v>139.31034482758622</v>
      </c>
      <c r="Q4" s="308">
        <f>(N4/N$9*$C$42+O4/O$9*$D$42+P4/P$9*$E$42)/10</f>
        <v>0.3469094424750242</v>
      </c>
      <c r="R4" s="363">
        <f>R12/R$17*R$19</f>
        <v>0</v>
      </c>
      <c r="S4" s="307">
        <f>(R4/R$9)</f>
        <v>0</v>
      </c>
      <c r="T4" s="365">
        <f>T12/T$17*T$19</f>
        <v>7639.47894</v>
      </c>
      <c r="U4" s="307">
        <f>(T4/T$9)</f>
        <v>0.79946864317892297</v>
      </c>
      <c r="V4" s="306"/>
    </row>
    <row r="5" spans="1:22" ht="10.9" customHeight="1">
      <c r="A5" s="362" t="s">
        <v>52</v>
      </c>
      <c r="B5" s="363">
        <f>B13/B$17*B$19</f>
        <v>2847.0022010611019</v>
      </c>
      <c r="C5" s="364">
        <v>3064.5154010197466</v>
      </c>
      <c r="D5" s="364">
        <v>4013.7805341037856</v>
      </c>
      <c r="E5" s="307">
        <f>(B5/B$9*$C$42+C5/C$9*$D$42+D5/D$9*$E$42)/10</f>
        <v>6.2161280455902558E-2</v>
      </c>
      <c r="F5" s="365">
        <f>F13/F$17*F$19</f>
        <v>1979.740015855293</v>
      </c>
      <c r="G5" s="364">
        <v>3299.0046598899698</v>
      </c>
      <c r="H5" s="364">
        <v>3699.2476695558134</v>
      </c>
      <c r="I5" s="308">
        <f>(F5/F$9*$C$42+G5/G$9*$D$42+H5/H$9*$E$42)/10</f>
        <v>8.25774623434338E-2</v>
      </c>
      <c r="J5" s="366">
        <f>J13/J$17*J$19</f>
        <v>21.155956068713035</v>
      </c>
      <c r="K5" s="367">
        <v>18.620786992263053</v>
      </c>
      <c r="L5" s="367">
        <v>14.308071269762845</v>
      </c>
      <c r="M5" s="307">
        <f>(J5/J$9*$C$42+K5/K$9*$D$42+L5/L$9*$E$42)/10</f>
        <v>0.17591401009874214</v>
      </c>
      <c r="N5" s="365">
        <f>N13/N$17*N$19</f>
        <v>57.866666666666667</v>
      </c>
      <c r="O5" s="320">
        <v>50</v>
      </c>
      <c r="P5" s="364">
        <v>43.783251231527096</v>
      </c>
      <c r="Q5" s="308">
        <f>(N5/N$9*$C$42+O5/O$9*$D$42+P5/P$9*$E$42)/10</f>
        <v>0.12338827248591992</v>
      </c>
      <c r="R5" s="363">
        <f>R13/R$17*R$19</f>
        <v>877</v>
      </c>
      <c r="S5" s="307">
        <f>(R5/R$9)</f>
        <v>1</v>
      </c>
      <c r="T5" s="365">
        <f>T13/T$17*T$19</f>
        <v>0</v>
      </c>
      <c r="U5" s="307">
        <f>(T5/T$9)</f>
        <v>0</v>
      </c>
      <c r="V5" s="306"/>
    </row>
    <row r="6" spans="1:22" ht="10.9" customHeight="1">
      <c r="A6" s="362" t="s">
        <v>41</v>
      </c>
      <c r="B6" s="363">
        <f>B14/B$17*B$19</f>
        <v>9713.3253295209088</v>
      </c>
      <c r="C6" s="364">
        <v>6783.220055566364</v>
      </c>
      <c r="D6" s="364">
        <v>6236.8637005677001</v>
      </c>
      <c r="E6" s="307">
        <f>(B6/B$9*$C$42+C6/C$9*$D$42+D6/D$9*$E$42)/10</f>
        <v>0.15698568425297516</v>
      </c>
      <c r="F6" s="365">
        <f>F14/F$17*F$19</f>
        <v>3672.2777286500536</v>
      </c>
      <c r="G6" s="364">
        <v>9460.2254110063404</v>
      </c>
      <c r="H6" s="364">
        <v>12171.753083509415</v>
      </c>
      <c r="I6" s="308">
        <f>(F6/F$9*$C$42+G6/G$9*$D$42+H6/H$9*$E$42)/10</f>
        <v>0.2002861594482063</v>
      </c>
      <c r="J6" s="366">
        <f>J14/J$17*J$19</f>
        <v>20.075922275415376</v>
      </c>
      <c r="K6" s="367">
        <v>19.848531189555125</v>
      </c>
      <c r="L6" s="367">
        <v>21.566151803359681</v>
      </c>
      <c r="M6" s="307">
        <f>(J6/J$9*$C$42+K6/K$9*$D$42+L6/L$9*$E$42)/10</f>
        <v>0.18948803685492319</v>
      </c>
      <c r="N6" s="365">
        <f>N14/N$17*N$19</f>
        <v>94.515555555555551</v>
      </c>
      <c r="O6" s="320">
        <v>87</v>
      </c>
      <c r="P6" s="364">
        <v>80.600985221674875</v>
      </c>
      <c r="Q6" s="308">
        <f>(N6/N$9*$C$42+O6/O$9*$D$42+P6/P$9*$E$42)/10</f>
        <v>0.20977167513261619</v>
      </c>
      <c r="R6" s="363">
        <f>R14/R$17*R$19</f>
        <v>0</v>
      </c>
      <c r="S6" s="307">
        <f>(R6/R$9)</f>
        <v>0</v>
      </c>
      <c r="T6" s="365">
        <f>T14/T$17*T$19</f>
        <v>717.35190999999998</v>
      </c>
      <c r="U6" s="307">
        <f>(T6/T$9)</f>
        <v>7.5070611840643259E-2</v>
      </c>
      <c r="V6" s="306"/>
    </row>
    <row r="7" spans="1:22" ht="10.9" customHeight="1">
      <c r="A7" s="362" t="s">
        <v>42</v>
      </c>
      <c r="B7" s="363">
        <f>B15/B$17*B$19</f>
        <v>7947.8708246209308</v>
      </c>
      <c r="C7" s="364">
        <v>14103.963082308062</v>
      </c>
      <c r="D7" s="364">
        <v>11106.631065793199</v>
      </c>
      <c r="E7" s="307">
        <f>(B7/B$9*$C$42+C7/C$9*$D$42+D7/D$9*$E$42)/10</f>
        <v>0.20701246798361722</v>
      </c>
      <c r="F7" s="365">
        <f>F15/F$17*F$19</f>
        <v>9405.6007949028644</v>
      </c>
      <c r="G7" s="364">
        <v>16433.669718716577</v>
      </c>
      <c r="H7" s="364">
        <v>10361.911254536248</v>
      </c>
      <c r="I7" s="308">
        <f>(F7/F$9*$C$42+G7/G$9*$D$42+H7/H$9*$E$42)/10</f>
        <v>0.36191722594060743</v>
      </c>
      <c r="J7" s="366">
        <f>J15/J$17*J$19</f>
        <v>14.612221909321317</v>
      </c>
      <c r="K7" s="367">
        <v>11.840910702772403</v>
      </c>
      <c r="L7" s="367">
        <v>11.227192440711461</v>
      </c>
      <c r="M7" s="307">
        <f>(J7/J$9*$C$42+K7/K$9*$D$42+L7/L$9*$E$42)/10</f>
        <v>0.12136568312635276</v>
      </c>
      <c r="N7" s="365">
        <f>N15/N$17*N$19</f>
        <v>101.26666666666667</v>
      </c>
      <c r="O7" s="320">
        <v>110</v>
      </c>
      <c r="P7" s="364">
        <v>103.48768472906404</v>
      </c>
      <c r="Q7" s="308">
        <f>(N7/N$9*$C$42+O7/O$9*$D$42+P7/P$9*$E$42)/10</f>
        <v>0.24500099749858045</v>
      </c>
      <c r="R7" s="363">
        <f>R15/R$17*R$19</f>
        <v>0</v>
      </c>
      <c r="S7" s="307">
        <f>(R7/R$9)</f>
        <v>0</v>
      </c>
      <c r="T7" s="365">
        <f>T15/T$17*T$19</f>
        <v>1198.8646799999999</v>
      </c>
      <c r="U7" s="307">
        <f>(T7/T$9)</f>
        <v>0.12546074498043366</v>
      </c>
      <c r="V7" s="306"/>
    </row>
    <row r="8" spans="1:22" ht="10.9" customHeight="1">
      <c r="A8" s="362" t="s">
        <v>40</v>
      </c>
      <c r="B8" s="363">
        <f>B16/B$17*B$19</f>
        <v>10455.487083297552</v>
      </c>
      <c r="C8" s="364">
        <v>4428.3102430882655</v>
      </c>
      <c r="D8" s="364">
        <v>7276.1266668847138</v>
      </c>
      <c r="E8" s="307">
        <f>(B8/B$9*$C$42+C8/C$9*$D$42+D8/D$9*$E$42)/10</f>
        <v>0.15388568585613713</v>
      </c>
      <c r="F8" s="365">
        <f>F16/F$17*F$19</f>
        <v>866.87256939170402</v>
      </c>
      <c r="G8" s="364">
        <v>4879.1999179384084</v>
      </c>
      <c r="H8" s="364">
        <v>2824.3907990747507</v>
      </c>
      <c r="I8" s="308">
        <f>(F8/F$9*$C$42+G8/G$9*$D$42+H8/H$9*$E$42)/10</f>
        <v>6.3816749804067291E-2</v>
      </c>
      <c r="J8" s="366">
        <f>J16/J$17*J$19</f>
        <v>17.661729090397071</v>
      </c>
      <c r="K8" s="367">
        <v>19.671190361057381</v>
      </c>
      <c r="L8" s="367">
        <v>20.645099555335968</v>
      </c>
      <c r="M8" s="307">
        <f>(J8/J$9*$C$42+K8/K$9*$D$42+L8/L$9*$E$42)/10</f>
        <v>0.17639567600396971</v>
      </c>
      <c r="N8" s="365">
        <f>N16/N$17*N$19</f>
        <v>32.791111111111114</v>
      </c>
      <c r="O8" s="320">
        <v>27</v>
      </c>
      <c r="P8" s="364">
        <v>36.817733990147786</v>
      </c>
      <c r="Q8" s="308">
        <f>(N8/N$9*$C$42+O8/O$9*$D$42+P8/P$9*$E$42)/10</f>
        <v>7.4929612407859281E-2</v>
      </c>
      <c r="R8" s="363">
        <f>R16/R$17*R$19</f>
        <v>0</v>
      </c>
      <c r="S8" s="307">
        <f>(R8/R$9)</f>
        <v>0</v>
      </c>
      <c r="T8" s="365">
        <f>T16/T$17*T$19</f>
        <v>0</v>
      </c>
      <c r="U8" s="307">
        <f>(T8/T$9)</f>
        <v>0</v>
      </c>
      <c r="V8" s="306"/>
    </row>
    <row r="9" spans="1:22" ht="10.15" customHeight="1" thickBot="1">
      <c r="A9" s="362"/>
      <c r="B9" s="309">
        <f>SUM(B4:B8)</f>
        <v>55049.999999999993</v>
      </c>
      <c r="C9" s="310">
        <v>49089.999999999993</v>
      </c>
      <c r="D9" s="310">
        <v>45676.000000000007</v>
      </c>
      <c r="E9" s="307">
        <f>SUM(E4:E8)</f>
        <v>1</v>
      </c>
      <c r="F9" s="311">
        <f>SUM(F4:F8)</f>
        <v>22704.999999999996</v>
      </c>
      <c r="G9" s="310">
        <v>47317.999999999993</v>
      </c>
      <c r="H9" s="310">
        <v>40956.000000000007</v>
      </c>
      <c r="I9" s="308">
        <f>SUM(I4:I8)</f>
        <v>1.0000000000000002</v>
      </c>
      <c r="J9" s="312">
        <f>SUM(J4:J8)</f>
        <v>112.8</v>
      </c>
      <c r="K9" s="313">
        <v>105.79062500000001</v>
      </c>
      <c r="L9" s="313">
        <v>97.556250000000006</v>
      </c>
      <c r="M9" s="307">
        <f>SUM(M4:M8)</f>
        <v>1</v>
      </c>
      <c r="N9" s="311">
        <f>SUM(N4:N8)</f>
        <v>433.99999999999994</v>
      </c>
      <c r="O9" s="329">
        <f>SUM(O4:O8)</f>
        <v>428</v>
      </c>
      <c r="P9" s="310">
        <v>404</v>
      </c>
      <c r="Q9" s="308">
        <f>SUM(Q4:Q8)</f>
        <v>1.0000000000000002</v>
      </c>
      <c r="R9" s="309">
        <f>SUM(R4:R8)</f>
        <v>877</v>
      </c>
      <c r="S9" s="307">
        <f>SUM(S4:S8)</f>
        <v>1</v>
      </c>
      <c r="T9" s="311">
        <f>SUM(T4:T8)</f>
        <v>9555.6955300000009</v>
      </c>
      <c r="U9" s="307">
        <f>SUM(U4:U8)</f>
        <v>0.99999999999999989</v>
      </c>
    </row>
    <row r="10" spans="1:22" ht="10.15" customHeight="1">
      <c r="A10" s="362"/>
      <c r="B10" s="309"/>
      <c r="C10" s="310"/>
      <c r="D10" s="310"/>
      <c r="E10" s="307"/>
      <c r="F10" s="311"/>
      <c r="G10" s="310"/>
      <c r="H10" s="310"/>
      <c r="I10" s="308"/>
      <c r="J10" s="312"/>
      <c r="K10" s="313"/>
      <c r="L10" s="313"/>
      <c r="M10" s="307"/>
      <c r="N10" s="311"/>
      <c r="O10" s="310"/>
      <c r="P10" s="310"/>
      <c r="Q10" s="308"/>
      <c r="R10" s="309"/>
      <c r="S10" s="307"/>
      <c r="T10" s="311"/>
      <c r="U10" s="307"/>
    </row>
    <row r="11" spans="1:22" ht="10.15" customHeight="1">
      <c r="A11" s="314" t="s">
        <v>198</v>
      </c>
      <c r="B11" s="299"/>
      <c r="C11" s="300"/>
      <c r="D11" s="300"/>
      <c r="E11" s="301"/>
      <c r="F11" s="302"/>
      <c r="G11" s="300"/>
      <c r="H11" s="300"/>
      <c r="I11" s="303"/>
      <c r="J11" s="299"/>
      <c r="K11" s="300"/>
      <c r="L11" s="300"/>
      <c r="M11" s="301"/>
      <c r="N11" s="315"/>
      <c r="O11" s="316"/>
      <c r="P11" s="317"/>
      <c r="Q11" s="318"/>
      <c r="R11" s="299"/>
      <c r="S11" s="319"/>
      <c r="T11" s="302"/>
      <c r="U11" s="219"/>
    </row>
    <row r="12" spans="1:22" ht="10.15" customHeight="1">
      <c r="A12" s="362" t="s">
        <v>39</v>
      </c>
      <c r="B12" s="363">
        <v>24086295.940000001</v>
      </c>
      <c r="C12" s="364"/>
      <c r="D12" s="364"/>
      <c r="E12" s="368"/>
      <c r="F12" s="311">
        <v>10328826.199999999</v>
      </c>
      <c r="G12" s="310"/>
      <c r="H12" s="310"/>
      <c r="I12" s="369"/>
      <c r="J12" s="312">
        <v>30.925000000000001</v>
      </c>
      <c r="K12" s="313"/>
      <c r="L12" s="313"/>
      <c r="M12" s="368"/>
      <c r="N12" s="320">
        <v>153</v>
      </c>
      <c r="O12" s="321"/>
      <c r="P12" s="310"/>
      <c r="Q12" s="322"/>
      <c r="R12" s="309"/>
      <c r="S12" s="323"/>
      <c r="T12" s="324">
        <v>7639.47894</v>
      </c>
      <c r="U12" s="222"/>
    </row>
    <row r="13" spans="1:22" ht="10.15" customHeight="1">
      <c r="A13" s="362" t="s">
        <v>52</v>
      </c>
      <c r="B13" s="363">
        <v>2847000</v>
      </c>
      <c r="C13" s="364"/>
      <c r="D13" s="364"/>
      <c r="E13" s="368"/>
      <c r="F13" s="311">
        <v>3015760.45</v>
      </c>
      <c r="G13" s="310"/>
      <c r="H13" s="310"/>
      <c r="I13" s="369"/>
      <c r="J13" s="312">
        <v>16.649999999999999</v>
      </c>
      <c r="K13" s="313"/>
      <c r="L13" s="313"/>
      <c r="M13" s="368"/>
      <c r="N13" s="320">
        <v>60</v>
      </c>
      <c r="O13" s="321"/>
      <c r="P13" s="310"/>
      <c r="Q13" s="322"/>
      <c r="R13" s="309">
        <v>877</v>
      </c>
      <c r="S13" s="323"/>
      <c r="T13" s="324">
        <v>0</v>
      </c>
      <c r="U13" s="222"/>
    </row>
    <row r="14" spans="1:22" ht="10.15" customHeight="1">
      <c r="A14" s="362" t="s">
        <v>41</v>
      </c>
      <c r="B14" s="363">
        <v>9713317.8200000003</v>
      </c>
      <c r="C14" s="364"/>
      <c r="D14" s="364"/>
      <c r="E14" s="368"/>
      <c r="F14" s="311">
        <v>5594022.3700000001</v>
      </c>
      <c r="G14" s="310"/>
      <c r="H14" s="310"/>
      <c r="I14" s="369"/>
      <c r="J14" s="312">
        <v>15.8</v>
      </c>
      <c r="K14" s="313"/>
      <c r="L14" s="313"/>
      <c r="M14" s="368"/>
      <c r="N14" s="320">
        <v>98</v>
      </c>
      <c r="O14" s="321"/>
      <c r="P14" s="310"/>
      <c r="Q14" s="322"/>
      <c r="R14" s="309"/>
      <c r="S14" s="323"/>
      <c r="T14" s="324">
        <v>717.35190999999998</v>
      </c>
      <c r="U14" s="222"/>
    </row>
    <row r="15" spans="1:22" ht="10.15" customHeight="1">
      <c r="A15" s="362" t="s">
        <v>42</v>
      </c>
      <c r="B15" s="363">
        <v>7947864.6799999997</v>
      </c>
      <c r="C15" s="364"/>
      <c r="D15" s="364"/>
      <c r="E15" s="368"/>
      <c r="F15" s="311">
        <v>14327658.51</v>
      </c>
      <c r="G15" s="310"/>
      <c r="H15" s="310"/>
      <c r="I15" s="369"/>
      <c r="J15" s="312">
        <v>11.5</v>
      </c>
      <c r="K15" s="313"/>
      <c r="L15" s="313"/>
      <c r="M15" s="368"/>
      <c r="N15" s="320">
        <v>105</v>
      </c>
      <c r="O15" s="321"/>
      <c r="P15" s="310"/>
      <c r="Q15" s="322"/>
      <c r="R15" s="309"/>
      <c r="S15" s="323"/>
      <c r="T15" s="324">
        <v>1198.8646799999999</v>
      </c>
      <c r="U15" s="222"/>
    </row>
    <row r="16" spans="1:22" ht="10.15" customHeight="1">
      <c r="A16" s="362" t="s">
        <v>40</v>
      </c>
      <c r="B16" s="363">
        <f>8714000+1741479</f>
        <v>10455479</v>
      </c>
      <c r="C16" s="364"/>
      <c r="D16" s="364"/>
      <c r="E16" s="368"/>
      <c r="F16" s="311">
        <v>1320516.83</v>
      </c>
      <c r="G16" s="310"/>
      <c r="H16" s="310"/>
      <c r="I16" s="369"/>
      <c r="J16" s="312">
        <v>13.9</v>
      </c>
      <c r="K16" s="313"/>
      <c r="L16" s="313"/>
      <c r="M16" s="368"/>
      <c r="N16" s="320">
        <v>34</v>
      </c>
      <c r="O16" s="321"/>
      <c r="P16" s="310"/>
      <c r="Q16" s="322"/>
      <c r="R16" s="309"/>
      <c r="S16" s="323"/>
      <c r="T16" s="324">
        <v>0</v>
      </c>
      <c r="U16" s="222"/>
    </row>
    <row r="17" spans="1:29" ht="10.15" customHeight="1" thickBot="1">
      <c r="A17" s="370" t="s">
        <v>43</v>
      </c>
      <c r="B17" s="371">
        <f>SUM(B12:B16)</f>
        <v>55049957.440000005</v>
      </c>
      <c r="C17" s="372"/>
      <c r="D17" s="372"/>
      <c r="E17" s="373"/>
      <c r="F17" s="325">
        <f>SUM(F12:F16)</f>
        <v>34586784.359999999</v>
      </c>
      <c r="G17" s="326"/>
      <c r="H17" s="326"/>
      <c r="I17" s="374"/>
      <c r="J17" s="327">
        <f>SUM(J12:J16)</f>
        <v>88.775000000000006</v>
      </c>
      <c r="K17" s="328"/>
      <c r="L17" s="328"/>
      <c r="M17" s="373"/>
      <c r="N17" s="329">
        <f>SUM(N12:N16)</f>
        <v>450</v>
      </c>
      <c r="O17" s="328"/>
      <c r="P17" s="328"/>
      <c r="Q17" s="330"/>
      <c r="R17" s="331">
        <f>SUM(R12:R16)</f>
        <v>877</v>
      </c>
      <c r="S17" s="332"/>
      <c r="T17" s="333">
        <f>SUM(T12:T16)</f>
        <v>9555.6955300000009</v>
      </c>
      <c r="U17" s="334"/>
    </row>
    <row r="18" spans="1:29" ht="10.15" customHeight="1">
      <c r="I18" s="361"/>
      <c r="J18" s="335"/>
      <c r="K18" s="336"/>
      <c r="L18" s="336"/>
      <c r="M18" s="336"/>
      <c r="N18" s="335"/>
      <c r="O18" s="336"/>
      <c r="P18" s="336"/>
      <c r="Q18" s="336"/>
      <c r="R18" s="337"/>
      <c r="S18" s="336"/>
      <c r="T18" s="361"/>
      <c r="U18" s="361"/>
      <c r="V18" s="336"/>
      <c r="AA18" s="338"/>
      <c r="AB18" s="339"/>
      <c r="AC18" s="340"/>
    </row>
    <row r="19" spans="1:29" ht="10.9" customHeight="1">
      <c r="A19" s="341" t="s">
        <v>154</v>
      </c>
      <c r="B19" s="342">
        <v>55050</v>
      </c>
      <c r="C19" s="342">
        <v>49090</v>
      </c>
      <c r="D19" s="342">
        <v>45676</v>
      </c>
      <c r="E19" s="343"/>
      <c r="F19" s="342">
        <f>77755-B19</f>
        <v>22705</v>
      </c>
      <c r="G19" s="342">
        <v>47318</v>
      </c>
      <c r="H19" s="342">
        <v>40956</v>
      </c>
      <c r="I19" s="343"/>
      <c r="J19" s="344">
        <v>112.8</v>
      </c>
      <c r="K19" s="344">
        <v>105.79</v>
      </c>
      <c r="L19" s="344">
        <v>97.56</v>
      </c>
      <c r="M19" s="343"/>
      <c r="N19" s="342">
        <v>434</v>
      </c>
      <c r="O19" s="342">
        <v>428</v>
      </c>
      <c r="P19" s="342">
        <v>404</v>
      </c>
      <c r="Q19" s="343"/>
      <c r="R19" s="342">
        <v>877</v>
      </c>
      <c r="S19" s="343"/>
      <c r="T19" s="342">
        <f>T17</f>
        <v>9555.6955300000009</v>
      </c>
      <c r="U19" s="343"/>
      <c r="V19" s="306"/>
    </row>
    <row r="20" spans="1:29" ht="10.15" customHeight="1" thickBot="1">
      <c r="I20" s="361"/>
      <c r="J20" s="335"/>
      <c r="K20" s="336"/>
      <c r="L20" s="336"/>
      <c r="M20" s="336"/>
      <c r="N20" s="335"/>
      <c r="O20" s="336"/>
      <c r="P20" s="336"/>
      <c r="Q20" s="336"/>
      <c r="R20" s="337"/>
      <c r="S20" s="336"/>
      <c r="T20" s="361"/>
      <c r="U20" s="361"/>
      <c r="V20" s="336"/>
      <c r="AA20" s="338"/>
      <c r="AB20" s="339"/>
      <c r="AC20" s="340"/>
    </row>
    <row r="21" spans="1:29" ht="14.25" customHeight="1">
      <c r="A21" s="290"/>
      <c r="B21" s="713" t="s">
        <v>138</v>
      </c>
      <c r="C21" s="714"/>
      <c r="D21" s="714"/>
      <c r="E21" s="715"/>
      <c r="F21" s="713" t="s">
        <v>204</v>
      </c>
      <c r="G21" s="714"/>
      <c r="H21" s="714"/>
      <c r="I21" s="715"/>
      <c r="J21" s="713" t="s">
        <v>203</v>
      </c>
      <c r="K21" s="714"/>
      <c r="L21" s="714"/>
      <c r="M21" s="715"/>
      <c r="N21" s="716" t="s">
        <v>202</v>
      </c>
      <c r="O21" s="715"/>
      <c r="P21" s="345"/>
      <c r="AB21" s="339"/>
    </row>
    <row r="22" spans="1:29" ht="23.65" customHeight="1">
      <c r="A22" s="291"/>
      <c r="B22" s="292">
        <v>2017</v>
      </c>
      <c r="C22" s="293">
        <v>2016</v>
      </c>
      <c r="D22" s="293">
        <v>2015</v>
      </c>
      <c r="E22" s="294" t="s">
        <v>200</v>
      </c>
      <c r="F22" s="292">
        <v>2017</v>
      </c>
      <c r="G22" s="293">
        <v>2016</v>
      </c>
      <c r="H22" s="293">
        <v>2015</v>
      </c>
      <c r="I22" s="294" t="s">
        <v>200</v>
      </c>
      <c r="J22" s="292">
        <v>2017</v>
      </c>
      <c r="K22" s="293">
        <v>2016</v>
      </c>
      <c r="L22" s="293">
        <v>2015</v>
      </c>
      <c r="M22" s="294" t="s">
        <v>200</v>
      </c>
      <c r="N22" s="295" t="s">
        <v>201</v>
      </c>
      <c r="O22" s="294" t="s">
        <v>200</v>
      </c>
    </row>
    <row r="23" spans="1:29" ht="10.15" customHeight="1">
      <c r="A23" s="346" t="s">
        <v>199</v>
      </c>
      <c r="B23" s="309"/>
      <c r="C23" s="310"/>
      <c r="D23" s="310"/>
      <c r="E23" s="368"/>
      <c r="F23" s="309"/>
      <c r="G23" s="310"/>
      <c r="H23" s="310"/>
      <c r="I23" s="368"/>
      <c r="J23" s="309"/>
      <c r="K23" s="310"/>
      <c r="L23" s="310"/>
      <c r="M23" s="368"/>
      <c r="N23" s="347"/>
      <c r="O23" s="348"/>
      <c r="P23" s="375"/>
      <c r="Q23" s="306"/>
      <c r="R23" s="338"/>
      <c r="S23" s="349"/>
      <c r="T23" s="208"/>
    </row>
    <row r="24" spans="1:29" ht="10.15" customHeight="1">
      <c r="A24" s="362" t="s">
        <v>39</v>
      </c>
      <c r="B24" s="363">
        <f>B31/B$36*B$38</f>
        <v>86</v>
      </c>
      <c r="C24" s="364">
        <v>99.576601671309191</v>
      </c>
      <c r="D24" s="364">
        <v>104</v>
      </c>
      <c r="E24" s="307">
        <f>(B24/B$29*$C$42+C24/C$29*$D$42+D24/D$29*$E$42)/10</f>
        <v>0.27557786340767432</v>
      </c>
      <c r="F24" s="363">
        <f>F31/F$36*F$38</f>
        <v>10137.52860567523</v>
      </c>
      <c r="G24" s="364">
        <v>11336.682693361587</v>
      </c>
      <c r="H24" s="364">
        <v>11761.784198788166</v>
      </c>
      <c r="I24" s="307">
        <f>(F24/F$29*$C$42+G24/G$29*$D$42+H24/H$29*$E$42)/10</f>
        <v>0.20446229287123513</v>
      </c>
      <c r="J24" s="363">
        <f>J31/J$36*J$38</f>
        <v>26351.957162031169</v>
      </c>
      <c r="K24" s="364">
        <v>28321.264696726612</v>
      </c>
      <c r="L24" s="364">
        <v>23896.589334464206</v>
      </c>
      <c r="M24" s="307">
        <f>(J24/J$29*$C$42+K24/K$29*$D$42+L24/L$29*$E$42)/10</f>
        <v>0.28539521715845045</v>
      </c>
      <c r="N24" s="365">
        <f>N31/N$36*N$38</f>
        <v>5782.7762214844543</v>
      </c>
      <c r="O24" s="307">
        <f>(N24/N$29)</f>
        <v>0.28480970357980961</v>
      </c>
      <c r="P24" s="375"/>
      <c r="Q24" s="306"/>
      <c r="R24" s="338"/>
      <c r="S24" s="349"/>
      <c r="T24" s="208"/>
    </row>
    <row r="25" spans="1:29" ht="10.15" customHeight="1">
      <c r="A25" s="362" t="s">
        <v>52</v>
      </c>
      <c r="B25" s="363">
        <f>B32/B$36*B$38</f>
        <v>0</v>
      </c>
      <c r="C25" s="364">
        <v>0</v>
      </c>
      <c r="D25" s="364">
        <v>0</v>
      </c>
      <c r="E25" s="307">
        <f>(B25/B$29*$C$42+C25/C$29*$D$42+D25/D$29*$E$42)/10</f>
        <v>0</v>
      </c>
      <c r="F25" s="363">
        <f>F32/F$36*F$38</f>
        <v>9398.8871244708171</v>
      </c>
      <c r="G25" s="364">
        <v>7052.7162325088602</v>
      </c>
      <c r="H25" s="364">
        <v>7722.9114018986711</v>
      </c>
      <c r="I25" s="307">
        <f>(F25/F$29*$C$42+G25/G$29*$D$42+H25/H$29*$E$42)/10</f>
        <v>0.15532724731961683</v>
      </c>
      <c r="J25" s="363">
        <f>J32/J$36*J$38</f>
        <v>13173.039482514354</v>
      </c>
      <c r="K25" s="364">
        <v>13719.607025693827</v>
      </c>
      <c r="L25" s="364">
        <v>10363.322192477935</v>
      </c>
      <c r="M25" s="307">
        <f>(J25/J$29*$C$42+K25/K$29*$D$42+L25/L$29*$E$42)/10</f>
        <v>0.13736346453171158</v>
      </c>
      <c r="N25" s="365">
        <f>N32/N$36*N$38</f>
        <v>3200.5667929485239</v>
      </c>
      <c r="O25" s="307">
        <f>(N25/N$29)</f>
        <v>0.15763232825790602</v>
      </c>
      <c r="P25" s="375"/>
      <c r="Q25" s="306"/>
      <c r="R25" s="338"/>
      <c r="S25" s="349"/>
      <c r="T25" s="208"/>
    </row>
    <row r="26" spans="1:29" ht="10.15" customHeight="1">
      <c r="A26" s="362" t="s">
        <v>41</v>
      </c>
      <c r="B26" s="363">
        <f>B33/B$36*B$38</f>
        <v>47</v>
      </c>
      <c r="C26" s="364">
        <v>48.86629526462395</v>
      </c>
      <c r="D26" s="364">
        <v>45</v>
      </c>
      <c r="E26" s="307">
        <f>(B26/B$29*$C$42+C26/C$29*$D$42+D26/D$29*$E$42)/10</f>
        <v>0.13693284658081498</v>
      </c>
      <c r="F26" s="363">
        <f>F33/F$36*F$38</f>
        <v>13374.722614210177</v>
      </c>
      <c r="G26" s="364">
        <v>14472.965620547297</v>
      </c>
      <c r="H26" s="364">
        <v>11324.352023999842</v>
      </c>
      <c r="I26" s="307">
        <f>(F26/F$29*$C$42+G26/G$29*$D$42+H26/H$29*$E$42)/10</f>
        <v>0.24740847901357302</v>
      </c>
      <c r="J26" s="363">
        <f>J33/J$36*J$38</f>
        <v>16473.059279695772</v>
      </c>
      <c r="K26" s="364">
        <v>17363.527094657693</v>
      </c>
      <c r="L26" s="364">
        <v>13761.42712502319</v>
      </c>
      <c r="M26" s="307">
        <f>(J26/J$29*$C$42+K26/K$29*$D$42+L26/L$29*$E$42)/10</f>
        <v>0.17441671626985636</v>
      </c>
      <c r="N26" s="365">
        <f>N33/N$36*N$38</f>
        <v>4476.4663741856521</v>
      </c>
      <c r="O26" s="307">
        <f>(N26/N$29)</f>
        <v>0.22047214214862351</v>
      </c>
      <c r="P26" s="375"/>
      <c r="Q26" s="306"/>
      <c r="R26" s="338"/>
      <c r="S26" s="349"/>
      <c r="T26" s="208"/>
    </row>
    <row r="27" spans="1:29" ht="10.9" customHeight="1">
      <c r="A27" s="362" t="s">
        <v>42</v>
      </c>
      <c r="B27" s="363">
        <f>B34/B$36*B$38</f>
        <v>230</v>
      </c>
      <c r="C27" s="364">
        <v>165.96100278551532</v>
      </c>
      <c r="D27" s="364">
        <v>121</v>
      </c>
      <c r="E27" s="307">
        <f>(B27/B$29*$C$42+C27/C$29*$D$42+D27/D$29*$E$42)/10</f>
        <v>0.53135986032121096</v>
      </c>
      <c r="F27" s="363">
        <f>F34/F$36*F$38</f>
        <v>22520.04624513321</v>
      </c>
      <c r="G27" s="364">
        <v>16478.226517116658</v>
      </c>
      <c r="H27" s="364">
        <v>7513.8879349477957</v>
      </c>
      <c r="I27" s="307">
        <f>(F27/F$29*$C$42+G27/G$29*$D$42+H27/H$29*$E$42)/10</f>
        <v>0.31834625145720385</v>
      </c>
      <c r="J27" s="363">
        <f>J34/J$36*J$38</f>
        <v>28570.388710759824</v>
      </c>
      <c r="K27" s="364">
        <v>28238.609348435144</v>
      </c>
      <c r="L27" s="364">
        <v>22702.974608391425</v>
      </c>
      <c r="M27" s="307">
        <f>(J27/J$29*$C$42+K27/K$29*$D$42+L27/L$29*$E$42)/10</f>
        <v>0.29387419205535104</v>
      </c>
      <c r="N27" s="365">
        <f>N34/N$36*N$38</f>
        <v>4126.4653970084628</v>
      </c>
      <c r="O27" s="307">
        <f>(N27/N$29)</f>
        <v>0.2032341113577848</v>
      </c>
      <c r="P27" s="375"/>
      <c r="Q27" s="306"/>
      <c r="R27" s="338"/>
      <c r="S27" s="349"/>
      <c r="T27" s="208"/>
    </row>
    <row r="28" spans="1:29" ht="10.15" customHeight="1">
      <c r="A28" s="362" t="s">
        <v>40</v>
      </c>
      <c r="B28" s="363">
        <f>B35/B$36*B$38</f>
        <v>30</v>
      </c>
      <c r="C28" s="364">
        <v>16.596100278551532</v>
      </c>
      <c r="D28" s="364">
        <v>4</v>
      </c>
      <c r="E28" s="307">
        <f>(B28/B$29*$C$42+C28/C$29*$D$42+D28/D$29*$E$42)/10</f>
        <v>5.6129429690299805E-2</v>
      </c>
      <c r="F28" s="363">
        <f>F35/F$36*F$38</f>
        <v>3516.8154105105668</v>
      </c>
      <c r="G28" s="364">
        <v>4311.408936465602</v>
      </c>
      <c r="H28" s="364">
        <v>4381.0644403655233</v>
      </c>
      <c r="I28" s="307">
        <f>(F28/F$29*$C$42+G28/G$29*$D$42+H28/H$29*$E$42)/10</f>
        <v>7.4455729338371149E-2</v>
      </c>
      <c r="J28" s="363">
        <f>J35/J$36*J$38</f>
        <v>10030.555364998881</v>
      </c>
      <c r="K28" s="364">
        <v>10978.991834486722</v>
      </c>
      <c r="L28" s="364">
        <v>8981.6867396432444</v>
      </c>
      <c r="M28" s="307">
        <f>(J28/J$29*$C$42+K28/K$29*$D$42+L28/L$29*$E$42)/10</f>
        <v>0.10895040998463053</v>
      </c>
      <c r="N28" s="365">
        <f>N35/N$36*N$38</f>
        <v>2717.7252143729088</v>
      </c>
      <c r="O28" s="307">
        <f>(N28/N$29)</f>
        <v>0.13385171465587611</v>
      </c>
      <c r="P28" s="375"/>
      <c r="Q28" s="306"/>
      <c r="R28" s="338"/>
      <c r="S28" s="349"/>
      <c r="T28" s="208"/>
    </row>
    <row r="29" spans="1:29" ht="10.15" customHeight="1">
      <c r="A29" s="362"/>
      <c r="B29" s="309">
        <f>SUM(B24:B28)</f>
        <v>393</v>
      </c>
      <c r="C29" s="310">
        <v>331</v>
      </c>
      <c r="D29" s="310">
        <v>274</v>
      </c>
      <c r="E29" s="307">
        <f>SUM(E24:E28)</f>
        <v>1</v>
      </c>
      <c r="F29" s="309">
        <f>SUM(F24:F28)</f>
        <v>58948</v>
      </c>
      <c r="G29" s="310">
        <v>53652</v>
      </c>
      <c r="H29" s="310">
        <v>42703.999999999993</v>
      </c>
      <c r="I29" s="307">
        <f>SUM(I24:I28)</f>
        <v>1</v>
      </c>
      <c r="J29" s="309">
        <f>SUM(J24:J28)</f>
        <v>94599</v>
      </c>
      <c r="K29" s="310">
        <v>98622</v>
      </c>
      <c r="L29" s="310">
        <v>79706.000000000015</v>
      </c>
      <c r="M29" s="307">
        <f>SUM(M24:M28)</f>
        <v>1</v>
      </c>
      <c r="N29" s="311">
        <f>SUM(N24:N28)</f>
        <v>20304</v>
      </c>
      <c r="O29" s="307">
        <f>SUM(O24:O28)</f>
        <v>1</v>
      </c>
      <c r="P29" s="375"/>
      <c r="Q29" s="306"/>
      <c r="R29" s="338"/>
      <c r="S29" s="349"/>
      <c r="T29" s="208"/>
    </row>
    <row r="30" spans="1:29" ht="10.15" customHeight="1">
      <c r="A30" s="362" t="s">
        <v>198</v>
      </c>
      <c r="B30" s="309"/>
      <c r="C30" s="310"/>
      <c r="D30" s="310"/>
      <c r="E30" s="368"/>
      <c r="F30" s="309"/>
      <c r="G30" s="310"/>
      <c r="H30" s="310"/>
      <c r="I30" s="368"/>
      <c r="J30" s="309"/>
      <c r="K30" s="310"/>
      <c r="L30" s="310"/>
      <c r="M30" s="368"/>
      <c r="N30" s="347"/>
      <c r="O30" s="348"/>
      <c r="P30" s="375"/>
      <c r="Q30" s="306"/>
      <c r="R30" s="338"/>
      <c r="S30" s="349"/>
      <c r="T30" s="208"/>
    </row>
    <row r="31" spans="1:29" ht="10.15" customHeight="1">
      <c r="A31" s="362" t="s">
        <v>39</v>
      </c>
      <c r="B31" s="309">
        <v>86</v>
      </c>
      <c r="C31" s="310"/>
      <c r="D31" s="310"/>
      <c r="E31" s="368"/>
      <c r="F31" s="309">
        <v>10115</v>
      </c>
      <c r="G31" s="310"/>
      <c r="H31" s="310"/>
      <c r="I31" s="368"/>
      <c r="J31" s="108">
        <v>22415</v>
      </c>
      <c r="K31" s="310"/>
      <c r="L31" s="310"/>
      <c r="M31" s="368"/>
      <c r="N31" s="350">
        <v>5445.8502933999998</v>
      </c>
      <c r="O31" s="348"/>
      <c r="P31" s="375"/>
      <c r="Q31" s="306"/>
      <c r="R31" s="338"/>
      <c r="S31" s="349"/>
      <c r="T31" s="208"/>
    </row>
    <row r="32" spans="1:29" ht="10.15" customHeight="1">
      <c r="A32" s="362" t="s">
        <v>52</v>
      </c>
      <c r="B32" s="309">
        <v>0</v>
      </c>
      <c r="C32" s="310"/>
      <c r="D32" s="310"/>
      <c r="E32" s="368"/>
      <c r="F32" s="309">
        <v>9378</v>
      </c>
      <c r="G32" s="310"/>
      <c r="H32" s="310"/>
      <c r="I32" s="368"/>
      <c r="J32" s="108">
        <v>11205</v>
      </c>
      <c r="K32" s="310"/>
      <c r="L32" s="310"/>
      <c r="M32" s="368"/>
      <c r="N32" s="350">
        <v>3014.0899355000001</v>
      </c>
      <c r="O32" s="348"/>
      <c r="P32" s="375"/>
      <c r="Q32" s="306"/>
      <c r="R32" s="338"/>
      <c r="S32" s="349"/>
      <c r="T32" s="208"/>
    </row>
    <row r="33" spans="1:21" ht="10.15" customHeight="1">
      <c r="A33" s="362" t="s">
        <v>41</v>
      </c>
      <c r="B33" s="309">
        <v>47</v>
      </c>
      <c r="C33" s="310"/>
      <c r="D33" s="310"/>
      <c r="E33" s="368"/>
      <c r="F33" s="309">
        <v>13345</v>
      </c>
      <c r="G33" s="310"/>
      <c r="H33" s="310"/>
      <c r="I33" s="368"/>
      <c r="J33" s="108">
        <v>14012</v>
      </c>
      <c r="K33" s="310"/>
      <c r="L33" s="310"/>
      <c r="M33" s="368"/>
      <c r="N33" s="350">
        <v>4215.6508887</v>
      </c>
      <c r="O33" s="348"/>
      <c r="P33" s="375"/>
      <c r="Q33" s="306"/>
      <c r="R33" s="338"/>
      <c r="S33" s="349"/>
      <c r="T33" s="208"/>
    </row>
    <row r="34" spans="1:21" ht="10.15" customHeight="1">
      <c r="A34" s="362" t="s">
        <v>42</v>
      </c>
      <c r="B34" s="309">
        <v>230</v>
      </c>
      <c r="C34" s="310"/>
      <c r="D34" s="310"/>
      <c r="E34" s="368"/>
      <c r="F34" s="309">
        <v>22470</v>
      </c>
      <c r="G34" s="310"/>
      <c r="H34" s="310"/>
      <c r="I34" s="368"/>
      <c r="J34" s="108">
        <v>24302</v>
      </c>
      <c r="K34" s="310"/>
      <c r="L34" s="310"/>
      <c r="M34" s="368"/>
      <c r="N34" s="350">
        <v>3886.0422628000001</v>
      </c>
      <c r="O34" s="348"/>
      <c r="P34" s="375"/>
      <c r="Q34" s="306"/>
      <c r="R34" s="338"/>
      <c r="S34" s="349"/>
      <c r="T34" s="208"/>
    </row>
    <row r="35" spans="1:21" ht="10.15" customHeight="1">
      <c r="A35" s="362" t="s">
        <v>40</v>
      </c>
      <c r="B35" s="309">
        <v>30</v>
      </c>
      <c r="C35" s="310"/>
      <c r="D35" s="310"/>
      <c r="E35" s="368"/>
      <c r="F35" s="309">
        <v>3509</v>
      </c>
      <c r="G35" s="310"/>
      <c r="H35" s="310"/>
      <c r="I35" s="368"/>
      <c r="J35" s="108">
        <v>8532</v>
      </c>
      <c r="K35" s="310"/>
      <c r="L35" s="310"/>
      <c r="M35" s="368"/>
      <c r="N35" s="350">
        <v>2559.3804928999998</v>
      </c>
      <c r="O35" s="348"/>
      <c r="P35" s="375"/>
      <c r="Q35" s="306"/>
      <c r="R35" s="338"/>
      <c r="S35" s="349"/>
      <c r="T35" s="208"/>
    </row>
    <row r="36" spans="1:21" ht="10.15" customHeight="1" thickBot="1">
      <c r="A36" s="370"/>
      <c r="B36" s="331">
        <f>SUM(B31:B35)</f>
        <v>393</v>
      </c>
      <c r="C36" s="326"/>
      <c r="D36" s="326"/>
      <c r="E36" s="332"/>
      <c r="F36" s="331">
        <f>SUM(F31:F35)</f>
        <v>58817</v>
      </c>
      <c r="G36" s="326"/>
      <c r="H36" s="326"/>
      <c r="I36" s="373"/>
      <c r="J36" s="331">
        <f>SUM(J31:J35)</f>
        <v>80466</v>
      </c>
      <c r="K36" s="326"/>
      <c r="L36" s="326"/>
      <c r="M36" s="373"/>
      <c r="N36" s="351">
        <f>SUM(N31:N35)</f>
        <v>19121.013873299999</v>
      </c>
      <c r="O36" s="352"/>
      <c r="P36" s="375"/>
      <c r="Q36" s="306"/>
      <c r="R36" s="338"/>
      <c r="S36" s="349"/>
      <c r="T36" s="208"/>
    </row>
    <row r="37" spans="1:21" ht="10.15" customHeight="1">
      <c r="A37" s="376"/>
      <c r="B37" s="353"/>
      <c r="C37" s="353"/>
      <c r="D37" s="353"/>
      <c r="E37" s="353"/>
      <c r="F37" s="353"/>
      <c r="G37" s="353"/>
      <c r="H37" s="353"/>
      <c r="I37" s="375"/>
      <c r="J37" s="353"/>
      <c r="K37" s="353"/>
      <c r="L37" s="353"/>
      <c r="M37" s="375"/>
      <c r="N37" s="354"/>
      <c r="O37" s="354"/>
      <c r="P37" s="375"/>
      <c r="Q37" s="306"/>
      <c r="R37" s="338"/>
      <c r="S37" s="349"/>
      <c r="T37" s="208"/>
    </row>
    <row r="38" spans="1:21" ht="10.15" customHeight="1">
      <c r="A38" s="341" t="s">
        <v>131</v>
      </c>
      <c r="B38" s="342">
        <v>393</v>
      </c>
      <c r="C38" s="342">
        <v>331</v>
      </c>
      <c r="D38" s="342">
        <v>274</v>
      </c>
      <c r="E38" s="343"/>
      <c r="F38" s="342">
        <v>58948</v>
      </c>
      <c r="G38" s="342">
        <v>53652</v>
      </c>
      <c r="H38" s="342">
        <v>42704</v>
      </c>
      <c r="I38" s="343"/>
      <c r="J38" s="342">
        <v>94599</v>
      </c>
      <c r="K38" s="342">
        <v>95622</v>
      </c>
      <c r="L38" s="342">
        <v>79706</v>
      </c>
      <c r="M38" s="343"/>
      <c r="N38" s="355">
        <v>20304</v>
      </c>
      <c r="O38" s="355"/>
      <c r="P38" s="375"/>
      <c r="Q38" s="306"/>
      <c r="R38" s="338"/>
      <c r="S38" s="349"/>
      <c r="T38" s="208"/>
    </row>
    <row r="39" spans="1:21" ht="10.15" customHeight="1">
      <c r="B39" s="335"/>
      <c r="C39" s="336"/>
      <c r="D39" s="336"/>
      <c r="E39" s="336"/>
      <c r="F39" s="356"/>
      <c r="G39" s="356"/>
      <c r="H39" s="356"/>
      <c r="I39" s="208"/>
      <c r="J39" s="356"/>
      <c r="K39" s="356"/>
      <c r="L39" s="356"/>
      <c r="M39" s="336"/>
      <c r="N39" s="335"/>
      <c r="O39" s="336"/>
      <c r="P39" s="336"/>
      <c r="Q39" s="336"/>
      <c r="R39" s="336"/>
      <c r="S39" s="335"/>
      <c r="T39" s="336"/>
      <c r="U39" s="336"/>
    </row>
    <row r="41" spans="1:21" ht="10.15" customHeight="1">
      <c r="A41" s="718" t="s">
        <v>197</v>
      </c>
      <c r="B41" s="718"/>
      <c r="C41" s="207">
        <v>2017</v>
      </c>
      <c r="D41" s="207">
        <v>2016</v>
      </c>
      <c r="E41" s="207">
        <v>2015</v>
      </c>
    </row>
    <row r="42" spans="1:21" ht="10.15" customHeight="1">
      <c r="A42" s="718"/>
      <c r="B42" s="718"/>
      <c r="C42" s="207">
        <v>5</v>
      </c>
      <c r="D42" s="207">
        <v>3</v>
      </c>
      <c r="E42" s="207">
        <v>2</v>
      </c>
    </row>
    <row r="43" spans="1:21" ht="10.15" customHeight="1">
      <c r="A43" s="709"/>
      <c r="B43" s="709"/>
    </row>
    <row r="44" spans="1:21" ht="10.15" customHeight="1">
      <c r="A44" s="718"/>
      <c r="B44" s="718"/>
      <c r="C44" s="361"/>
      <c r="D44" s="361"/>
      <c r="E44" s="361"/>
    </row>
    <row r="46" spans="1:21" ht="10.15" customHeight="1">
      <c r="J46" s="361"/>
      <c r="K46" s="361"/>
      <c r="L46" s="361"/>
      <c r="M46" s="361"/>
    </row>
    <row r="47" spans="1:21" ht="10.15" customHeight="1">
      <c r="J47" s="361"/>
      <c r="K47" s="361"/>
      <c r="L47" s="361"/>
      <c r="M47" s="361"/>
    </row>
    <row r="48" spans="1:21" ht="10.15" customHeight="1">
      <c r="J48" s="361"/>
      <c r="K48" s="361"/>
      <c r="L48" s="361"/>
      <c r="M48" s="361"/>
    </row>
    <row r="49" spans="10:13" ht="10.15" customHeight="1">
      <c r="J49" s="361"/>
      <c r="K49" s="361"/>
      <c r="L49" s="361"/>
      <c r="M49" s="361"/>
    </row>
    <row r="50" spans="10:13" ht="10.15" customHeight="1">
      <c r="J50" s="361"/>
      <c r="K50" s="361"/>
      <c r="L50" s="361"/>
      <c r="M50" s="361"/>
    </row>
    <row r="51" spans="10:13" ht="10.15" customHeight="1">
      <c r="J51" s="361"/>
      <c r="K51" s="361"/>
      <c r="L51" s="361"/>
      <c r="M51" s="361"/>
    </row>
    <row r="52" spans="10:13" ht="10.15" customHeight="1">
      <c r="J52" s="361"/>
      <c r="K52" s="361"/>
      <c r="L52" s="361"/>
      <c r="M52" s="361"/>
    </row>
    <row r="53" spans="10:13" ht="10.15" customHeight="1">
      <c r="J53" s="361"/>
      <c r="K53" s="361"/>
      <c r="L53" s="361"/>
      <c r="M53" s="361"/>
    </row>
    <row r="54" spans="10:13" ht="10.15" customHeight="1">
      <c r="J54" s="361"/>
      <c r="K54" s="361"/>
      <c r="L54" s="361"/>
      <c r="M54" s="361"/>
    </row>
    <row r="55" spans="10:13" ht="10.15" customHeight="1">
      <c r="J55" s="361"/>
      <c r="K55" s="361"/>
      <c r="L55" s="361"/>
      <c r="M55" s="361"/>
    </row>
  </sheetData>
  <mergeCells count="14">
    <mergeCell ref="R1:S1"/>
    <mergeCell ref="T1:U1"/>
    <mergeCell ref="N21:O21"/>
    <mergeCell ref="B1:E1"/>
    <mergeCell ref="A42:B42"/>
    <mergeCell ref="A43:B43"/>
    <mergeCell ref="F1:I1"/>
    <mergeCell ref="J1:M1"/>
    <mergeCell ref="N1:Q1"/>
    <mergeCell ref="A44:B44"/>
    <mergeCell ref="B21:E21"/>
    <mergeCell ref="F21:I21"/>
    <mergeCell ref="J21:M21"/>
    <mergeCell ref="A41:B41"/>
  </mergeCells>
  <pageMargins left="0.35972222222222222" right="0.20972222222222223" top="0.67986111111111114" bottom="0.42986111111111114" header="0.47986111111111113" footer="0.17986111111111111"/>
  <pageSetup paperSize="9" scale="80" firstPageNumber="0" orientation="landscape" horizontalDpi="300" verticalDpi="300" r:id="rId1"/>
  <headerFooter alignWithMargins="0">
    <oddHeader>&amp;C&amp;A&amp;RTabulka &amp;A</oddHeader>
    <oddFooter>&amp;C&amp;F&amp;R&amp;P/&amp;N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47"/>
  <sheetViews>
    <sheetView zoomScaleNormal="100" workbookViewId="0">
      <selection activeCell="M23" sqref="M23"/>
    </sheetView>
  </sheetViews>
  <sheetFormatPr defaultColWidth="7.42578125" defaultRowHeight="9"/>
  <cols>
    <col min="1" max="7" width="12.42578125" style="183" customWidth="1"/>
    <col min="8" max="10" width="12.42578125" style="184" customWidth="1"/>
    <col min="11" max="16384" width="7.42578125" style="183"/>
  </cols>
  <sheetData>
    <row r="1" spans="1:10" ht="27">
      <c r="A1" s="206" t="s">
        <v>38</v>
      </c>
      <c r="B1" s="206" t="s">
        <v>228</v>
      </c>
      <c r="C1" s="206" t="s">
        <v>227</v>
      </c>
      <c r="D1" s="206" t="s">
        <v>211</v>
      </c>
    </row>
    <row r="2" spans="1:10">
      <c r="A2" s="188" t="s">
        <v>39</v>
      </c>
      <c r="B2" s="205">
        <f>E41</f>
        <v>0.1330621877432151</v>
      </c>
      <c r="C2" s="205">
        <v>0.17985819373255593</v>
      </c>
      <c r="D2" s="205">
        <f>(B2*$B$8+C2*$C$8)/8</f>
        <v>0.15061068998921789</v>
      </c>
      <c r="E2" s="165"/>
    </row>
    <row r="3" spans="1:10">
      <c r="A3" s="188" t="s">
        <v>52</v>
      </c>
      <c r="B3" s="205">
        <f>E42</f>
        <v>0.39201459499719643</v>
      </c>
      <c r="C3" s="205">
        <v>0.34803210577106436</v>
      </c>
      <c r="D3" s="205">
        <f>(B3*$B$8+C3*$C$8)/8</f>
        <v>0.3755211615373969</v>
      </c>
      <c r="E3" s="165"/>
    </row>
    <row r="4" spans="1:10">
      <c r="A4" s="188" t="s">
        <v>41</v>
      </c>
      <c r="B4" s="205">
        <f>E43</f>
        <v>0.14812583163867341</v>
      </c>
      <c r="C4" s="205">
        <v>0.16353371510462111</v>
      </c>
      <c r="D4" s="205">
        <f>(B4*$B$8+C4*$C$8)/8</f>
        <v>0.15390378793840381</v>
      </c>
      <c r="E4" s="165"/>
    </row>
    <row r="5" spans="1:10">
      <c r="A5" s="188" t="s">
        <v>42</v>
      </c>
      <c r="B5" s="205">
        <f>E44</f>
        <v>0.22469935477391983</v>
      </c>
      <c r="C5" s="205">
        <v>0.15558817240960859</v>
      </c>
      <c r="D5" s="205">
        <f>(B5*$B$8+C5*$C$8)/8</f>
        <v>0.19878266138730311</v>
      </c>
      <c r="E5" s="165"/>
    </row>
    <row r="6" spans="1:10">
      <c r="A6" s="188" t="s">
        <v>40</v>
      </c>
      <c r="B6" s="205">
        <f>E45</f>
        <v>0.10209803084699523</v>
      </c>
      <c r="C6" s="205">
        <v>0.15298781298214997</v>
      </c>
      <c r="D6" s="205">
        <f>(B6*$B$8+C6*$C$8)/8</f>
        <v>0.12118169914767826</v>
      </c>
      <c r="E6" s="165"/>
    </row>
    <row r="7" spans="1:10">
      <c r="A7" s="165" t="s">
        <v>131</v>
      </c>
      <c r="B7" s="204">
        <f>SUM(B2:B6)</f>
        <v>1</v>
      </c>
      <c r="C7" s="204">
        <f>SUM(C2:C6)</f>
        <v>1</v>
      </c>
      <c r="D7" s="204">
        <f>SUM(D2:D6)</f>
        <v>1</v>
      </c>
      <c r="E7" s="165"/>
    </row>
    <row r="8" spans="1:10">
      <c r="A8" s="203" t="s">
        <v>226</v>
      </c>
      <c r="B8" s="202">
        <v>5</v>
      </c>
      <c r="C8" s="202">
        <v>3</v>
      </c>
      <c r="D8" s="202"/>
      <c r="E8" s="201"/>
    </row>
    <row r="11" spans="1:10">
      <c r="A11" s="198" t="s">
        <v>225</v>
      </c>
      <c r="B11" s="198"/>
      <c r="C11" s="183">
        <v>0.6</v>
      </c>
    </row>
    <row r="12" spans="1:10">
      <c r="A12" s="198" t="s">
        <v>224</v>
      </c>
      <c r="B12" s="198"/>
      <c r="C12" s="183">
        <v>0.7</v>
      </c>
    </row>
    <row r="13" spans="1:10" ht="10.5" customHeight="1">
      <c r="A13" s="198" t="s">
        <v>223</v>
      </c>
      <c r="B13" s="198"/>
      <c r="C13" s="183">
        <v>0.7</v>
      </c>
      <c r="F13" s="200"/>
      <c r="G13" s="200"/>
      <c r="H13" s="200"/>
      <c r="I13" s="200"/>
      <c r="J13" s="200"/>
    </row>
    <row r="14" spans="1:10" ht="10.5" customHeight="1">
      <c r="A14" s="198" t="s">
        <v>222</v>
      </c>
      <c r="B14" s="198"/>
      <c r="C14" s="183">
        <v>1.5</v>
      </c>
      <c r="F14" s="200"/>
      <c r="G14" s="200"/>
      <c r="H14" s="200"/>
      <c r="I14" s="200"/>
      <c r="J14" s="200"/>
    </row>
    <row r="15" spans="1:10" ht="10.5" customHeight="1">
      <c r="A15" s="198" t="s">
        <v>221</v>
      </c>
      <c r="B15" s="198"/>
      <c r="C15" s="183">
        <v>1.4</v>
      </c>
      <c r="F15" s="200"/>
      <c r="G15" s="200"/>
      <c r="H15" s="200"/>
      <c r="I15" s="200"/>
      <c r="J15" s="200"/>
    </row>
    <row r="16" spans="1:10">
      <c r="A16" s="198" t="s">
        <v>220</v>
      </c>
      <c r="B16" s="198"/>
      <c r="C16" s="199">
        <v>2</v>
      </c>
    </row>
    <row r="17" spans="1:14">
      <c r="A17" s="198" t="s">
        <v>219</v>
      </c>
      <c r="B17" s="198"/>
      <c r="C17" s="183">
        <v>1.5</v>
      </c>
    </row>
    <row r="18" spans="1:14">
      <c r="A18" s="721"/>
      <c r="B18" s="721"/>
      <c r="C18" s="721"/>
      <c r="D18" s="721"/>
      <c r="E18" s="721"/>
      <c r="F18" s="721"/>
      <c r="G18" s="197"/>
      <c r="H18" s="196"/>
      <c r="I18" s="196"/>
    </row>
    <row r="19" spans="1:14" ht="43.5" customHeight="1">
      <c r="A19" s="189" t="s">
        <v>38</v>
      </c>
      <c r="B19" s="189" t="s">
        <v>126</v>
      </c>
      <c r="C19" s="189" t="s">
        <v>218</v>
      </c>
      <c r="D19" s="189" t="s">
        <v>217</v>
      </c>
      <c r="E19" s="189" t="s">
        <v>212</v>
      </c>
      <c r="F19" s="189" t="s">
        <v>216</v>
      </c>
      <c r="G19" s="189" t="s">
        <v>215</v>
      </c>
      <c r="H19" s="195" t="s">
        <v>214</v>
      </c>
      <c r="I19" s="195" t="s">
        <v>211</v>
      </c>
      <c r="J19" s="195" t="s">
        <v>213</v>
      </c>
    </row>
    <row r="20" spans="1:14">
      <c r="A20" s="192" t="s">
        <v>195</v>
      </c>
      <c r="B20" s="192"/>
      <c r="C20" s="192"/>
      <c r="D20" s="192"/>
      <c r="E20" s="191">
        <f>SUM(E21:E38)</f>
        <v>829</v>
      </c>
      <c r="F20" s="191">
        <f>SUM(F21:F38)</f>
        <v>25</v>
      </c>
      <c r="G20" s="192"/>
      <c r="H20" s="194"/>
      <c r="I20" s="190">
        <f>SUM(I21:I38)</f>
        <v>1194.9299999999998</v>
      </c>
      <c r="J20" s="190">
        <f>SUM(J21:J38)</f>
        <v>1003.85</v>
      </c>
      <c r="N20" s="183" t="s">
        <v>532</v>
      </c>
    </row>
    <row r="21" spans="1:14">
      <c r="A21" s="193" t="s">
        <v>39</v>
      </c>
      <c r="B21" s="192" t="s">
        <v>114</v>
      </c>
      <c r="C21" s="191">
        <v>1</v>
      </c>
      <c r="D21" s="191">
        <v>0</v>
      </c>
      <c r="E21" s="191">
        <v>64</v>
      </c>
      <c r="F21" s="191"/>
      <c r="G21" s="191">
        <f t="shared" ref="G21:G38" si="0">1+(C21-1)*$C$11</f>
        <v>1</v>
      </c>
      <c r="H21" s="190">
        <v>1</v>
      </c>
      <c r="I21" s="190">
        <f t="shared" ref="I21:I38" si="1">E21*G21*H21</f>
        <v>64</v>
      </c>
      <c r="J21" s="190">
        <f t="shared" ref="J21:J38" si="2">E21*C21</f>
        <v>64</v>
      </c>
      <c r="N21" s="183" t="s">
        <v>518</v>
      </c>
    </row>
    <row r="22" spans="1:14">
      <c r="A22" s="193" t="s">
        <v>42</v>
      </c>
      <c r="B22" s="192" t="s">
        <v>113</v>
      </c>
      <c r="C22" s="191">
        <v>1</v>
      </c>
      <c r="D22" s="191">
        <v>0</v>
      </c>
      <c r="E22" s="191">
        <v>60</v>
      </c>
      <c r="F22" s="191"/>
      <c r="G22" s="191">
        <f t="shared" si="0"/>
        <v>1</v>
      </c>
      <c r="H22" s="190">
        <v>1</v>
      </c>
      <c r="I22" s="190">
        <f t="shared" si="1"/>
        <v>60</v>
      </c>
      <c r="J22" s="190">
        <f t="shared" si="2"/>
        <v>60</v>
      </c>
      <c r="N22" s="183" t="s">
        <v>519</v>
      </c>
    </row>
    <row r="23" spans="1:14">
      <c r="A23" s="193" t="s">
        <v>41</v>
      </c>
      <c r="B23" s="192" t="s">
        <v>112</v>
      </c>
      <c r="C23" s="191">
        <v>1</v>
      </c>
      <c r="D23" s="191">
        <v>0</v>
      </c>
      <c r="E23" s="191">
        <v>76</v>
      </c>
      <c r="F23" s="191"/>
      <c r="G23" s="191">
        <f t="shared" si="0"/>
        <v>1</v>
      </c>
      <c r="H23" s="190">
        <v>1</v>
      </c>
      <c r="I23" s="190">
        <f t="shared" si="1"/>
        <v>76</v>
      </c>
      <c r="J23" s="190">
        <f t="shared" si="2"/>
        <v>76</v>
      </c>
      <c r="N23" s="183" t="s">
        <v>520</v>
      </c>
    </row>
    <row r="24" spans="1:14">
      <c r="A24" s="193" t="s">
        <v>40</v>
      </c>
      <c r="B24" s="192" t="s">
        <v>111</v>
      </c>
      <c r="C24" s="191">
        <v>1</v>
      </c>
      <c r="D24" s="191">
        <v>0</v>
      </c>
      <c r="E24" s="191">
        <v>29</v>
      </c>
      <c r="F24" s="191"/>
      <c r="G24" s="191">
        <f t="shared" si="0"/>
        <v>1</v>
      </c>
      <c r="H24" s="190">
        <v>1</v>
      </c>
      <c r="I24" s="190">
        <f t="shared" si="1"/>
        <v>29</v>
      </c>
      <c r="J24" s="190">
        <f t="shared" si="2"/>
        <v>29</v>
      </c>
      <c r="N24" s="183" t="s">
        <v>534</v>
      </c>
    </row>
    <row r="25" spans="1:14">
      <c r="A25" s="193" t="s">
        <v>41</v>
      </c>
      <c r="B25" s="192" t="s">
        <v>110</v>
      </c>
      <c r="C25" s="191">
        <v>1</v>
      </c>
      <c r="D25" s="191">
        <v>0</v>
      </c>
      <c r="E25" s="191">
        <v>6</v>
      </c>
      <c r="F25" s="191"/>
      <c r="G25" s="191">
        <f t="shared" si="0"/>
        <v>1</v>
      </c>
      <c r="H25" s="190">
        <v>1</v>
      </c>
      <c r="I25" s="190">
        <f t="shared" si="1"/>
        <v>6</v>
      </c>
      <c r="J25" s="190">
        <f t="shared" si="2"/>
        <v>6</v>
      </c>
    </row>
    <row r="26" spans="1:14">
      <c r="A26" s="193" t="s">
        <v>52</v>
      </c>
      <c r="B26" s="192" t="s">
        <v>108</v>
      </c>
      <c r="C26" s="191">
        <v>1.65</v>
      </c>
      <c r="D26" s="191">
        <v>0</v>
      </c>
      <c r="E26" s="191">
        <v>136</v>
      </c>
      <c r="F26" s="191"/>
      <c r="G26" s="191">
        <f t="shared" si="0"/>
        <v>1.39</v>
      </c>
      <c r="H26" s="190">
        <v>1</v>
      </c>
      <c r="I26" s="190">
        <f t="shared" si="1"/>
        <v>189.04</v>
      </c>
      <c r="J26" s="190">
        <f t="shared" si="2"/>
        <v>224.39999999999998</v>
      </c>
      <c r="N26" s="183" t="s">
        <v>533</v>
      </c>
    </row>
    <row r="27" spans="1:14">
      <c r="A27" s="193" t="s">
        <v>39</v>
      </c>
      <c r="B27" s="192" t="s">
        <v>106</v>
      </c>
      <c r="C27" s="191">
        <v>1</v>
      </c>
      <c r="D27" s="191">
        <v>0</v>
      </c>
      <c r="E27" s="191">
        <v>62</v>
      </c>
      <c r="F27" s="191"/>
      <c r="G27" s="191">
        <f t="shared" si="0"/>
        <v>1</v>
      </c>
      <c r="H27" s="190">
        <v>1.5</v>
      </c>
      <c r="I27" s="190">
        <f t="shared" si="1"/>
        <v>93</v>
      </c>
      <c r="J27" s="190">
        <f t="shared" si="2"/>
        <v>62</v>
      </c>
      <c r="N27" s="183" t="s">
        <v>521</v>
      </c>
    </row>
    <row r="28" spans="1:14">
      <c r="A28" s="193" t="s">
        <v>42</v>
      </c>
      <c r="B28" s="192" t="s">
        <v>105</v>
      </c>
      <c r="C28" s="191">
        <v>1</v>
      </c>
      <c r="D28" s="191">
        <v>0</v>
      </c>
      <c r="E28" s="191">
        <v>119</v>
      </c>
      <c r="F28" s="191"/>
      <c r="G28" s="191">
        <f t="shared" si="0"/>
        <v>1</v>
      </c>
      <c r="H28" s="190">
        <v>1.5</v>
      </c>
      <c r="I28" s="190">
        <f t="shared" si="1"/>
        <v>178.5</v>
      </c>
      <c r="J28" s="190">
        <f t="shared" si="2"/>
        <v>119</v>
      </c>
    </row>
    <row r="29" spans="1:14">
      <c r="A29" s="193" t="s">
        <v>41</v>
      </c>
      <c r="B29" s="192" t="s">
        <v>104</v>
      </c>
      <c r="C29" s="191">
        <v>1</v>
      </c>
      <c r="D29" s="191">
        <v>0</v>
      </c>
      <c r="E29" s="191">
        <v>62</v>
      </c>
      <c r="F29" s="191"/>
      <c r="G29" s="191">
        <f t="shared" si="0"/>
        <v>1</v>
      </c>
      <c r="H29" s="190">
        <v>1.5</v>
      </c>
      <c r="I29" s="190">
        <f t="shared" si="1"/>
        <v>93</v>
      </c>
      <c r="J29" s="190">
        <f t="shared" si="2"/>
        <v>62</v>
      </c>
    </row>
    <row r="30" spans="1:14">
      <c r="A30" s="193" t="s">
        <v>40</v>
      </c>
      <c r="B30" s="192" t="s">
        <v>103</v>
      </c>
      <c r="C30" s="191">
        <v>1</v>
      </c>
      <c r="D30" s="191">
        <v>0</v>
      </c>
      <c r="E30" s="191">
        <v>62</v>
      </c>
      <c r="F30" s="191"/>
      <c r="G30" s="191">
        <f t="shared" si="0"/>
        <v>1</v>
      </c>
      <c r="H30" s="190">
        <v>1.5</v>
      </c>
      <c r="I30" s="190">
        <f t="shared" si="1"/>
        <v>93</v>
      </c>
      <c r="J30" s="190">
        <f t="shared" si="2"/>
        <v>62</v>
      </c>
    </row>
    <row r="31" spans="1:14">
      <c r="A31" s="193" t="s">
        <v>42</v>
      </c>
      <c r="B31" s="192" t="s">
        <v>133</v>
      </c>
      <c r="C31" s="191">
        <v>1</v>
      </c>
      <c r="D31" s="191">
        <v>0</v>
      </c>
      <c r="E31" s="191">
        <v>12</v>
      </c>
      <c r="F31" s="191"/>
      <c r="G31" s="191">
        <f t="shared" si="0"/>
        <v>1</v>
      </c>
      <c r="H31" s="190">
        <v>1.5</v>
      </c>
      <c r="I31" s="190">
        <f t="shared" si="1"/>
        <v>18</v>
      </c>
      <c r="J31" s="190">
        <f t="shared" si="2"/>
        <v>12</v>
      </c>
    </row>
    <row r="32" spans="1:14">
      <c r="A32" s="193" t="s">
        <v>52</v>
      </c>
      <c r="B32" s="192" t="s">
        <v>101</v>
      </c>
      <c r="C32" s="191">
        <v>1.65</v>
      </c>
      <c r="D32" s="191">
        <v>0</v>
      </c>
      <c r="E32" s="191">
        <v>130</v>
      </c>
      <c r="F32" s="191"/>
      <c r="G32" s="191">
        <f t="shared" si="0"/>
        <v>1.39</v>
      </c>
      <c r="H32" s="190">
        <v>1.5</v>
      </c>
      <c r="I32" s="190">
        <f t="shared" si="1"/>
        <v>271.04999999999995</v>
      </c>
      <c r="J32" s="190">
        <f t="shared" si="2"/>
        <v>214.5</v>
      </c>
    </row>
    <row r="33" spans="1:10">
      <c r="A33" s="193" t="s">
        <v>39</v>
      </c>
      <c r="B33" s="192" t="s">
        <v>99</v>
      </c>
      <c r="C33" s="191">
        <v>1</v>
      </c>
      <c r="D33" s="191">
        <v>0</v>
      </c>
      <c r="E33" s="191">
        <v>1</v>
      </c>
      <c r="F33" s="191">
        <v>7</v>
      </c>
      <c r="G33" s="191">
        <f t="shared" si="0"/>
        <v>1</v>
      </c>
      <c r="H33" s="190">
        <v>2</v>
      </c>
      <c r="I33" s="190">
        <f t="shared" si="1"/>
        <v>2</v>
      </c>
      <c r="J33" s="190">
        <f t="shared" si="2"/>
        <v>1</v>
      </c>
    </row>
    <row r="34" spans="1:10">
      <c r="A34" s="193" t="s">
        <v>42</v>
      </c>
      <c r="B34" s="192" t="s">
        <v>94</v>
      </c>
      <c r="C34" s="191">
        <v>1</v>
      </c>
      <c r="D34" s="191">
        <v>0</v>
      </c>
      <c r="E34" s="191">
        <v>6</v>
      </c>
      <c r="F34" s="191">
        <v>8</v>
      </c>
      <c r="G34" s="191">
        <f t="shared" si="0"/>
        <v>1</v>
      </c>
      <c r="H34" s="190">
        <v>2</v>
      </c>
      <c r="I34" s="190">
        <f t="shared" si="1"/>
        <v>12</v>
      </c>
      <c r="J34" s="190">
        <f t="shared" si="2"/>
        <v>6</v>
      </c>
    </row>
    <row r="35" spans="1:10">
      <c r="A35" s="193" t="s">
        <v>41</v>
      </c>
      <c r="B35" s="192" t="s">
        <v>92</v>
      </c>
      <c r="C35" s="191">
        <v>1</v>
      </c>
      <c r="D35" s="191">
        <v>0</v>
      </c>
      <c r="E35" s="191">
        <v>1</v>
      </c>
      <c r="F35" s="191">
        <v>3</v>
      </c>
      <c r="G35" s="191">
        <f t="shared" si="0"/>
        <v>1</v>
      </c>
      <c r="H35" s="190">
        <v>2</v>
      </c>
      <c r="I35" s="190">
        <f t="shared" si="1"/>
        <v>2</v>
      </c>
      <c r="J35" s="190">
        <f t="shared" si="2"/>
        <v>1</v>
      </c>
    </row>
    <row r="36" spans="1:10">
      <c r="A36" s="193" t="s">
        <v>40</v>
      </c>
      <c r="B36" s="192" t="s">
        <v>90</v>
      </c>
      <c r="C36" s="191">
        <v>1</v>
      </c>
      <c r="D36" s="191">
        <v>0</v>
      </c>
      <c r="E36" s="191"/>
      <c r="F36" s="191">
        <v>4</v>
      </c>
      <c r="G36" s="191">
        <f t="shared" si="0"/>
        <v>1</v>
      </c>
      <c r="H36" s="190">
        <f t="shared" ref="H36:H37" si="3">IF(MID(B36,1,1)="P",IF(E36&lt;&gt;0,($C$17*(E36-F36)+$C$16*F36)/E36,0),IF(MID(B36,1,1)="M",IF(D36=6,$C$14,$C$15),IF(MID(B36,1,1)="N",$C$13,$C$12)))</f>
        <v>0</v>
      </c>
      <c r="I36" s="190">
        <f t="shared" si="1"/>
        <v>0</v>
      </c>
      <c r="J36" s="190">
        <f t="shared" si="2"/>
        <v>0</v>
      </c>
    </row>
    <row r="37" spans="1:10">
      <c r="A37" s="193" t="s">
        <v>41</v>
      </c>
      <c r="B37" s="192" t="s">
        <v>88</v>
      </c>
      <c r="C37" s="191">
        <v>1</v>
      </c>
      <c r="D37" s="191">
        <v>0</v>
      </c>
      <c r="E37" s="191"/>
      <c r="F37" s="191"/>
      <c r="G37" s="191">
        <f t="shared" si="0"/>
        <v>1</v>
      </c>
      <c r="H37" s="190">
        <f t="shared" si="3"/>
        <v>0</v>
      </c>
      <c r="I37" s="190">
        <f t="shared" si="1"/>
        <v>0</v>
      </c>
      <c r="J37" s="190">
        <f t="shared" si="2"/>
        <v>0</v>
      </c>
    </row>
    <row r="38" spans="1:10">
      <c r="A38" s="193" t="s">
        <v>52</v>
      </c>
      <c r="B38" s="192" t="s">
        <v>85</v>
      </c>
      <c r="C38" s="191">
        <v>1.65</v>
      </c>
      <c r="D38" s="191">
        <v>0</v>
      </c>
      <c r="E38" s="191">
        <v>3</v>
      </c>
      <c r="F38" s="191">
        <v>3</v>
      </c>
      <c r="G38" s="191">
        <f t="shared" si="0"/>
        <v>1.39</v>
      </c>
      <c r="H38" s="190">
        <v>2</v>
      </c>
      <c r="I38" s="190">
        <f t="shared" si="1"/>
        <v>8.34</v>
      </c>
      <c r="J38" s="190">
        <f t="shared" si="2"/>
        <v>4.9499999999999993</v>
      </c>
    </row>
    <row r="39" spans="1:10" ht="59.25" customHeight="1"/>
    <row r="40" spans="1:10" ht="43.5" customHeight="1">
      <c r="A40" s="189" t="s">
        <v>38</v>
      </c>
      <c r="B40" s="189" t="s">
        <v>212</v>
      </c>
      <c r="C40" s="189" t="s">
        <v>211</v>
      </c>
      <c r="D40" s="189" t="s">
        <v>212</v>
      </c>
      <c r="E40" s="189" t="s">
        <v>211</v>
      </c>
    </row>
    <row r="41" spans="1:10">
      <c r="A41" s="188" t="s">
        <v>39</v>
      </c>
      <c r="B41" s="184">
        <f>SUMIF($A$21:$A$38,$A41,E$21:E$38)</f>
        <v>127</v>
      </c>
      <c r="C41" s="184">
        <f>SUMIF($A$21:$A$38,$A41,I$21:I$38)</f>
        <v>159</v>
      </c>
      <c r="D41" s="186">
        <f t="shared" ref="D41:E45" si="4">B41/B$46</f>
        <v>0.15319662243667068</v>
      </c>
      <c r="E41" s="186">
        <f t="shared" si="4"/>
        <v>0.1330621877432151</v>
      </c>
    </row>
    <row r="42" spans="1:10">
      <c r="A42" s="188" t="s">
        <v>52</v>
      </c>
      <c r="B42" s="184">
        <f>SUMIF($A$21:$A$38,$A42,E$21:E$38)</f>
        <v>269</v>
      </c>
      <c r="C42" s="184">
        <f>SUMIF($A$21:$A$38,$A42,I$21:I$38)</f>
        <v>468.42999999999989</v>
      </c>
      <c r="D42" s="186">
        <f t="shared" si="4"/>
        <v>0.32448733413751507</v>
      </c>
      <c r="E42" s="186">
        <f t="shared" si="4"/>
        <v>0.39201459499719643</v>
      </c>
    </row>
    <row r="43" spans="1:10">
      <c r="A43" s="188" t="s">
        <v>41</v>
      </c>
      <c r="B43" s="184">
        <f>SUMIF($A$21:$A$38,$A43,E$21:E$38)</f>
        <v>145</v>
      </c>
      <c r="C43" s="184">
        <f>SUMIF($A$21:$A$38,$A43,I$21:I$38)</f>
        <v>177</v>
      </c>
      <c r="D43" s="186">
        <f t="shared" si="4"/>
        <v>0.17490952955367914</v>
      </c>
      <c r="E43" s="186">
        <f t="shared" si="4"/>
        <v>0.14812583163867341</v>
      </c>
    </row>
    <row r="44" spans="1:10">
      <c r="A44" s="188" t="s">
        <v>42</v>
      </c>
      <c r="B44" s="184">
        <f>SUMIF($A$21:$A$38,$A44,E$21:E$38)</f>
        <v>197</v>
      </c>
      <c r="C44" s="184">
        <f>SUMIF($A$21:$A$38,$A44,I$21:I$38)</f>
        <v>268.5</v>
      </c>
      <c r="D44" s="186">
        <f t="shared" si="4"/>
        <v>0.23763570566948131</v>
      </c>
      <c r="E44" s="186">
        <f t="shared" si="4"/>
        <v>0.22469935477391983</v>
      </c>
    </row>
    <row r="45" spans="1:10">
      <c r="A45" s="188" t="s">
        <v>40</v>
      </c>
      <c r="B45" s="184">
        <f>SUMIF($A$21:$A$38,$A45,E$21:E$38)</f>
        <v>91</v>
      </c>
      <c r="C45" s="184">
        <f>SUMIF($A$21:$A$38,$A45,I$21:I$38)</f>
        <v>122</v>
      </c>
      <c r="D45" s="186">
        <f t="shared" si="4"/>
        <v>0.10977080820265379</v>
      </c>
      <c r="E45" s="186">
        <f t="shared" si="4"/>
        <v>0.10209803084699523</v>
      </c>
    </row>
    <row r="46" spans="1:10">
      <c r="A46" s="187" t="s">
        <v>131</v>
      </c>
      <c r="B46" s="184">
        <f>SUM(B41:B45)</f>
        <v>829</v>
      </c>
      <c r="C46" s="184">
        <f>SUM(C41:C45)</f>
        <v>1194.9299999999998</v>
      </c>
      <c r="D46" s="186">
        <f>SUM(D41:D45)</f>
        <v>1</v>
      </c>
      <c r="E46" s="186">
        <f>SUM(E41:E45)</f>
        <v>1</v>
      </c>
    </row>
    <row r="47" spans="1:10">
      <c r="C47" s="185">
        <f>I20</f>
        <v>1194.9299999999998</v>
      </c>
    </row>
  </sheetData>
  <mergeCells count="1">
    <mergeCell ref="A18:F18"/>
  </mergeCells>
  <pageMargins left="0.7" right="0.7" top="0.78740157499999996" bottom="0.78740157499999996" header="0.3" footer="0.3"/>
  <pageSetup paperSize="9" scale="74" orientation="landscape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6"/>
  <sheetViews>
    <sheetView showZeros="0" zoomScaleNormal="100" workbookViewId="0">
      <selection activeCell="O45" sqref="O45"/>
    </sheetView>
  </sheetViews>
  <sheetFormatPr defaultColWidth="8.7109375" defaultRowHeight="10.15" customHeight="1"/>
  <cols>
    <col min="1" max="1" width="25.42578125" style="207" customWidth="1"/>
    <col min="2" max="12" width="8.28515625" style="207" customWidth="1"/>
    <col min="13" max="13" width="9" style="207" customWidth="1"/>
    <col min="14" max="14" width="10" style="207" customWidth="1"/>
    <col min="15" max="16384" width="8.7109375" style="207"/>
  </cols>
  <sheetData>
    <row r="1" spans="1:14" ht="19.5" customHeight="1">
      <c r="A1" s="724"/>
      <c r="B1" s="722" t="s">
        <v>240</v>
      </c>
      <c r="C1" s="722" t="s">
        <v>239</v>
      </c>
      <c r="D1" s="722" t="s">
        <v>209</v>
      </c>
      <c r="E1" s="722" t="s">
        <v>238</v>
      </c>
      <c r="F1" s="722" t="s">
        <v>208</v>
      </c>
      <c r="G1" s="722" t="s">
        <v>237</v>
      </c>
      <c r="H1" s="722" t="s">
        <v>207</v>
      </c>
      <c r="I1" s="722" t="s">
        <v>138</v>
      </c>
      <c r="J1" s="722" t="s">
        <v>236</v>
      </c>
      <c r="K1" s="722" t="s">
        <v>235</v>
      </c>
      <c r="L1" s="722" t="s">
        <v>234</v>
      </c>
      <c r="M1" s="726" t="s">
        <v>233</v>
      </c>
    </row>
    <row r="2" spans="1:14" ht="27" customHeight="1">
      <c r="A2" s="725"/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7"/>
    </row>
    <row r="3" spans="1:14" ht="12" customHeight="1">
      <c r="A3" s="221" t="s">
        <v>232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28"/>
    </row>
    <row r="4" spans="1:14" ht="12" customHeight="1">
      <c r="A4" s="179" t="s">
        <v>39</v>
      </c>
      <c r="B4" s="230">
        <f>VČ_K_data!O24</f>
        <v>0.28480970357980961</v>
      </c>
      <c r="C4" s="230">
        <f>VČ_K_data!E4</f>
        <v>0.41995488145136795</v>
      </c>
      <c r="D4" s="230">
        <f>VČ_K_data!I4</f>
        <v>0.29140240246368532</v>
      </c>
      <c r="E4" s="230">
        <f>VČ_K_data!U4</f>
        <v>0.79946864317892297</v>
      </c>
      <c r="F4" s="230">
        <f>VČ_K_data!M4</f>
        <v>0.33683659391601212</v>
      </c>
      <c r="G4" s="230">
        <f>VČ_K_data_absolventi!D2</f>
        <v>0.15061068998921789</v>
      </c>
      <c r="H4" s="230">
        <f>VČ_K_data!Q4</f>
        <v>0.3469094424750242</v>
      </c>
      <c r="I4" s="230">
        <f>VČ_K_data!E24</f>
        <v>0.27557786340767432</v>
      </c>
      <c r="J4" s="230">
        <f>VČ_K_data!I24</f>
        <v>0.20446229287123513</v>
      </c>
      <c r="K4" s="230">
        <f>VČ_K_data!M24</f>
        <v>0.28539521715845045</v>
      </c>
      <c r="L4" s="230"/>
      <c r="M4" s="229"/>
      <c r="N4" s="228"/>
    </row>
    <row r="5" spans="1:14" ht="12" customHeight="1">
      <c r="A5" s="179" t="s">
        <v>52</v>
      </c>
      <c r="B5" s="230">
        <f>VČ_K_data!O25</f>
        <v>0.15763232825790602</v>
      </c>
      <c r="C5" s="230">
        <f>VČ_K_data!E5</f>
        <v>6.2161280455902558E-2</v>
      </c>
      <c r="D5" s="230">
        <f>VČ_K_data!I5</f>
        <v>8.25774623434338E-2</v>
      </c>
      <c r="E5" s="230">
        <f>VČ_K_data!U5</f>
        <v>0</v>
      </c>
      <c r="F5" s="230">
        <f>VČ_K_data!M5</f>
        <v>0.17591401009874214</v>
      </c>
      <c r="G5" s="230">
        <f>VČ_K_data_absolventi!D3</f>
        <v>0.3755211615373969</v>
      </c>
      <c r="H5" s="230">
        <f>VČ_K_data!Q5</f>
        <v>0.12338827248591992</v>
      </c>
      <c r="I5" s="230">
        <f>VČ_K_data!E25</f>
        <v>0</v>
      </c>
      <c r="J5" s="230">
        <f>VČ_K_data!I25</f>
        <v>0.15532724731961683</v>
      </c>
      <c r="K5" s="230">
        <f>VČ_K_data!M25</f>
        <v>0.13736346453171158</v>
      </c>
      <c r="L5" s="230">
        <v>1</v>
      </c>
      <c r="M5" s="229"/>
      <c r="N5" s="228"/>
    </row>
    <row r="6" spans="1:14" ht="12" customHeight="1">
      <c r="A6" s="179" t="s">
        <v>41</v>
      </c>
      <c r="B6" s="230">
        <f>VČ_K_data!O26</f>
        <v>0.22047214214862351</v>
      </c>
      <c r="C6" s="230">
        <f>VČ_K_data!E6</f>
        <v>0.15698568425297516</v>
      </c>
      <c r="D6" s="230">
        <f>VČ_K_data!I6</f>
        <v>0.2002861594482063</v>
      </c>
      <c r="E6" s="230">
        <f>VČ_K_data!U6</f>
        <v>7.5070611840643259E-2</v>
      </c>
      <c r="F6" s="230">
        <f>VČ_K_data!M6</f>
        <v>0.18948803685492319</v>
      </c>
      <c r="G6" s="230">
        <f>VČ_K_data_absolventi!D4</f>
        <v>0.15390378793840381</v>
      </c>
      <c r="H6" s="230">
        <f>VČ_K_data!Q6</f>
        <v>0.20977167513261619</v>
      </c>
      <c r="I6" s="230">
        <f>VČ_K_data!E26</f>
        <v>0.13693284658081498</v>
      </c>
      <c r="J6" s="230">
        <f>VČ_K_data!I26</f>
        <v>0.24740847901357302</v>
      </c>
      <c r="K6" s="230">
        <f>VČ_K_data!M26</f>
        <v>0.17441671626985636</v>
      </c>
      <c r="L6" s="230"/>
      <c r="M6" s="229"/>
      <c r="N6" s="228"/>
    </row>
    <row r="7" spans="1:14" ht="12" customHeight="1">
      <c r="A7" s="179" t="s">
        <v>42</v>
      </c>
      <c r="B7" s="230">
        <f>VČ_K_data!O27</f>
        <v>0.2032341113577848</v>
      </c>
      <c r="C7" s="230">
        <f>VČ_K_data!E7</f>
        <v>0.20701246798361722</v>
      </c>
      <c r="D7" s="230">
        <f>VČ_K_data!I7</f>
        <v>0.36191722594060743</v>
      </c>
      <c r="E7" s="230">
        <f>VČ_K_data!U7</f>
        <v>0.12546074498043366</v>
      </c>
      <c r="F7" s="230">
        <f>VČ_K_data!M7</f>
        <v>0.12136568312635276</v>
      </c>
      <c r="G7" s="230">
        <f>VČ_K_data_absolventi!D5</f>
        <v>0.19878266138730311</v>
      </c>
      <c r="H7" s="230">
        <f>VČ_K_data!Q7</f>
        <v>0.24500099749858045</v>
      </c>
      <c r="I7" s="230">
        <f>VČ_K_data!E27</f>
        <v>0.53135986032121096</v>
      </c>
      <c r="J7" s="230">
        <f>VČ_K_data!I27</f>
        <v>0.31834625145720385</v>
      </c>
      <c r="K7" s="230">
        <f>VČ_K_data!M27</f>
        <v>0.29387419205535104</v>
      </c>
      <c r="L7" s="230"/>
      <c r="M7" s="229"/>
      <c r="N7" s="228"/>
    </row>
    <row r="8" spans="1:14" ht="12" customHeight="1">
      <c r="A8" s="179" t="s">
        <v>40</v>
      </c>
      <c r="B8" s="230">
        <f>VČ_K_data!O28</f>
        <v>0.13385171465587611</v>
      </c>
      <c r="C8" s="230">
        <f>VČ_K_data!E8</f>
        <v>0.15388568585613713</v>
      </c>
      <c r="D8" s="230">
        <f>VČ_K_data!I8</f>
        <v>6.3816749804067291E-2</v>
      </c>
      <c r="E8" s="230">
        <f>VČ_K_data!U8</f>
        <v>0</v>
      </c>
      <c r="F8" s="230">
        <f>VČ_K_data!M8</f>
        <v>0.17639567600396971</v>
      </c>
      <c r="G8" s="230">
        <f>VČ_K_data_absolventi!D6</f>
        <v>0.12118169914767826</v>
      </c>
      <c r="H8" s="230">
        <f>VČ_K_data!Q8</f>
        <v>7.4929612407859281E-2</v>
      </c>
      <c r="I8" s="230">
        <f>VČ_K_data!E28</f>
        <v>5.6129429690299805E-2</v>
      </c>
      <c r="J8" s="230">
        <f>VČ_K_data!I28</f>
        <v>7.4455729338371149E-2</v>
      </c>
      <c r="K8" s="230">
        <f>VČ_K_data!M28</f>
        <v>0.10895040998463053</v>
      </c>
      <c r="L8" s="230"/>
      <c r="M8" s="229"/>
      <c r="N8" s="228"/>
    </row>
    <row r="9" spans="1:14" s="106" customFormat="1" ht="12" customHeight="1">
      <c r="A9" s="227"/>
      <c r="B9" s="226">
        <f t="shared" ref="B9:L9" si="0">SUM(B4:B8)</f>
        <v>1</v>
      </c>
      <c r="C9" s="226">
        <f t="shared" si="0"/>
        <v>1</v>
      </c>
      <c r="D9" s="226">
        <f t="shared" si="0"/>
        <v>1.0000000000000002</v>
      </c>
      <c r="E9" s="226">
        <f t="shared" si="0"/>
        <v>0.99999999999999989</v>
      </c>
      <c r="F9" s="226">
        <f t="shared" si="0"/>
        <v>1</v>
      </c>
      <c r="G9" s="226">
        <f t="shared" si="0"/>
        <v>1</v>
      </c>
      <c r="H9" s="226">
        <f t="shared" si="0"/>
        <v>1.0000000000000002</v>
      </c>
      <c r="I9" s="226">
        <f t="shared" si="0"/>
        <v>1</v>
      </c>
      <c r="J9" s="226">
        <f t="shared" si="0"/>
        <v>1</v>
      </c>
      <c r="K9" s="226">
        <f t="shared" si="0"/>
        <v>1</v>
      </c>
      <c r="L9" s="226">
        <f t="shared" si="0"/>
        <v>1</v>
      </c>
      <c r="M9" s="225"/>
      <c r="N9" s="164"/>
    </row>
    <row r="10" spans="1:14" ht="12" customHeight="1">
      <c r="A10" s="224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2"/>
    </row>
    <row r="11" spans="1:14" ht="12" customHeight="1">
      <c r="A11" s="221" t="s">
        <v>231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19"/>
    </row>
    <row r="12" spans="1:14" ht="10.15" customHeight="1">
      <c r="A12" s="179" t="s">
        <v>39</v>
      </c>
      <c r="B12" s="218">
        <f t="shared" ref="B12:L12" si="1">B4*B$19</f>
        <v>1624024.8108485108</v>
      </c>
      <c r="C12" s="218">
        <f t="shared" si="1"/>
        <v>382850.60962050589</v>
      </c>
      <c r="D12" s="218">
        <f t="shared" si="1"/>
        <v>367658.33329298312</v>
      </c>
      <c r="E12" s="218">
        <f t="shared" si="1"/>
        <v>341612.95284540433</v>
      </c>
      <c r="F12" s="218">
        <f t="shared" si="1"/>
        <v>363268.49999462737</v>
      </c>
      <c r="G12" s="218">
        <f t="shared" si="1"/>
        <v>644543.72223023023</v>
      </c>
      <c r="H12" s="218">
        <f t="shared" si="1"/>
        <v>351555.94920959289</v>
      </c>
      <c r="I12" s="218">
        <f t="shared" si="1"/>
        <v>769151.59930032317</v>
      </c>
      <c r="J12" s="218">
        <f t="shared" si="1"/>
        <v>3120953.3456001021</v>
      </c>
      <c r="K12" s="218">
        <f t="shared" si="1"/>
        <v>4732899.5525194714</v>
      </c>
      <c r="L12" s="218">
        <f t="shared" si="1"/>
        <v>0</v>
      </c>
      <c r="M12" s="217">
        <f>SUM(B12:L12)</f>
        <v>12698519.375461752</v>
      </c>
    </row>
    <row r="13" spans="1:14" ht="10.15" customHeight="1">
      <c r="A13" s="179" t="s">
        <v>52</v>
      </c>
      <c r="B13" s="218">
        <f t="shared" ref="B13:L13" si="2">B5*B$19</f>
        <v>898841.60850200802</v>
      </c>
      <c r="C13" s="218">
        <f t="shared" si="2"/>
        <v>56669.145111698075</v>
      </c>
      <c r="D13" s="218">
        <f t="shared" si="2"/>
        <v>104186.82864680381</v>
      </c>
      <c r="E13" s="218">
        <f t="shared" si="2"/>
        <v>0</v>
      </c>
      <c r="F13" s="218">
        <f t="shared" si="2"/>
        <v>189718.15928213493</v>
      </c>
      <c r="G13" s="218">
        <f t="shared" si="2"/>
        <v>1607055.9616376553</v>
      </c>
      <c r="H13" s="218">
        <f t="shared" si="2"/>
        <v>125040.93559875491</v>
      </c>
      <c r="I13" s="218">
        <f t="shared" si="2"/>
        <v>0</v>
      </c>
      <c r="J13" s="218">
        <f t="shared" si="2"/>
        <v>2370946.1797452662</v>
      </c>
      <c r="K13" s="218">
        <f t="shared" si="2"/>
        <v>2277990.1018933807</v>
      </c>
      <c r="L13" s="218">
        <f t="shared" si="2"/>
        <v>9060.0000428331477</v>
      </c>
      <c r="M13" s="217">
        <f>SUM(B13:L13)</f>
        <v>7639508.9204605352</v>
      </c>
    </row>
    <row r="14" spans="1:14" ht="10.15" customHeight="1">
      <c r="A14" s="179" t="s">
        <v>41</v>
      </c>
      <c r="B14" s="218">
        <f t="shared" ref="B14:L14" si="3">B6*B$19</f>
        <v>1257163.0265748673</v>
      </c>
      <c r="C14" s="218">
        <f t="shared" si="3"/>
        <v>143115.52876878227</v>
      </c>
      <c r="D14" s="218">
        <f t="shared" si="3"/>
        <v>252698.24456425628</v>
      </c>
      <c r="E14" s="218">
        <f t="shared" si="3"/>
        <v>32077.672591161132</v>
      </c>
      <c r="F14" s="218">
        <f t="shared" si="3"/>
        <v>204357.3535611103</v>
      </c>
      <c r="G14" s="218">
        <f t="shared" si="3"/>
        <v>658636.65022882703</v>
      </c>
      <c r="H14" s="218">
        <f t="shared" si="3"/>
        <v>212581.35795436768</v>
      </c>
      <c r="I14" s="218">
        <f t="shared" si="3"/>
        <v>382186.42325625423</v>
      </c>
      <c r="J14" s="218">
        <f t="shared" si="3"/>
        <v>3776492.5232131821</v>
      </c>
      <c r="K14" s="218">
        <f t="shared" si="3"/>
        <v>2892468.9299442805</v>
      </c>
      <c r="L14" s="218">
        <f t="shared" si="3"/>
        <v>0</v>
      </c>
      <c r="M14" s="217">
        <f>SUM(B14:L14)</f>
        <v>9811777.7106570899</v>
      </c>
    </row>
    <row r="15" spans="1:14" ht="10.15" customHeight="1">
      <c r="A15" s="179" t="s">
        <v>42</v>
      </c>
      <c r="B15" s="218">
        <f t="shared" ref="B15:L15" si="4">B7*B$19</f>
        <v>1158869.3612164892</v>
      </c>
      <c r="C15" s="218">
        <f t="shared" si="4"/>
        <v>188722.29629208695</v>
      </c>
      <c r="D15" s="218">
        <f t="shared" si="4"/>
        <v>456625.89928690082</v>
      </c>
      <c r="E15" s="218">
        <f t="shared" si="4"/>
        <v>53609.376583589452</v>
      </c>
      <c r="F15" s="218">
        <f t="shared" si="4"/>
        <v>130889.37026576913</v>
      </c>
      <c r="G15" s="218">
        <f t="shared" si="4"/>
        <v>850697.36082197155</v>
      </c>
      <c r="H15" s="218">
        <f t="shared" si="4"/>
        <v>248282.54203288688</v>
      </c>
      <c r="I15" s="218">
        <f t="shared" si="4"/>
        <v>1483051.9451609708</v>
      </c>
      <c r="J15" s="218">
        <f t="shared" si="4"/>
        <v>4859300.8744664676</v>
      </c>
      <c r="K15" s="218">
        <f t="shared" si="4"/>
        <v>4873512.0578547819</v>
      </c>
      <c r="L15" s="218">
        <f t="shared" si="4"/>
        <v>0</v>
      </c>
      <c r="M15" s="217">
        <f>SUM(B15:L15)</f>
        <v>14303561.083981916</v>
      </c>
    </row>
    <row r="16" spans="1:14" ht="10.15" customHeight="1" thickBot="1">
      <c r="A16" s="216" t="s">
        <v>40</v>
      </c>
      <c r="B16" s="215">
        <f t="shared" ref="B16:L16" si="5">B8*B$19</f>
        <v>763241.21981624851</v>
      </c>
      <c r="C16" s="215">
        <f t="shared" si="5"/>
        <v>140289.42451693903</v>
      </c>
      <c r="D16" s="215">
        <f t="shared" si="5"/>
        <v>80516.700173954901</v>
      </c>
      <c r="E16" s="215">
        <f t="shared" si="5"/>
        <v>0</v>
      </c>
      <c r="F16" s="215">
        <f t="shared" si="5"/>
        <v>190237.62199506751</v>
      </c>
      <c r="G16" s="215">
        <f t="shared" si="5"/>
        <v>518601.32531376142</v>
      </c>
      <c r="H16" s="215">
        <f t="shared" si="5"/>
        <v>75933.219995441177</v>
      </c>
      <c r="I16" s="215">
        <f t="shared" si="5"/>
        <v>156660.04547775618</v>
      </c>
      <c r="J16" s="215">
        <f t="shared" si="5"/>
        <v>1136507.149139853</v>
      </c>
      <c r="K16" s="215">
        <f t="shared" si="5"/>
        <v>1806797.4361910308</v>
      </c>
      <c r="L16" s="215">
        <f t="shared" si="5"/>
        <v>0</v>
      </c>
      <c r="M16" s="214">
        <f>SUM(B16:L16)</f>
        <v>4868784.1426200522</v>
      </c>
    </row>
    <row r="17" spans="1:13" ht="10.15" customHeight="1">
      <c r="M17" s="208"/>
    </row>
    <row r="18" spans="1:13" s="211" customFormat="1" ht="19.899999999999999" customHeight="1">
      <c r="A18" s="213" t="s">
        <v>230</v>
      </c>
      <c r="B18" s="212">
        <v>5702140</v>
      </c>
      <c r="C18" s="212">
        <v>911647</v>
      </c>
      <c r="D18" s="212">
        <v>1261686</v>
      </c>
      <c r="E18" s="212">
        <v>427300</v>
      </c>
      <c r="F18" s="212">
        <v>1078471</v>
      </c>
      <c r="G18" s="212">
        <v>4279535</v>
      </c>
      <c r="H18" s="212">
        <v>1013394</v>
      </c>
      <c r="I18" s="212">
        <v>2791050</v>
      </c>
      <c r="J18" s="212">
        <v>15264200</v>
      </c>
      <c r="K18" s="212">
        <v>16583668</v>
      </c>
      <c r="L18" s="212">
        <v>9060</v>
      </c>
      <c r="M18" s="212">
        <f>SUM(B18:L18)</f>
        <v>49322151</v>
      </c>
    </row>
    <row r="19" spans="1:13" s="211" customFormat="1" ht="24.75" customHeight="1">
      <c r="A19" s="213" t="s">
        <v>229</v>
      </c>
      <c r="B19" s="212">
        <f>B18/$M$18*'Vzdělávací činnost'!$D$6</f>
        <v>5702140.0269581238</v>
      </c>
      <c r="C19" s="212">
        <f>C18/$M$18*'Vzdělávací činnost'!$D$6</f>
        <v>911647.00431001221</v>
      </c>
      <c r="D19" s="212">
        <f>D18/$M$18*'Vzdělávací činnost'!$D$6</f>
        <v>1261686.0059648987</v>
      </c>
      <c r="E19" s="212">
        <f>E18/$M$18*'Vzdělávací činnost'!$D$6</f>
        <v>427300.00202015496</v>
      </c>
      <c r="F19" s="212">
        <f>F18/$M$18*'Vzdělávací činnost'!$D$6</f>
        <v>1078471.0050987094</v>
      </c>
      <c r="G19" s="212">
        <f>G18/$M$18*'Vzdělávací činnost'!$D$6</f>
        <v>4279535.0202324456</v>
      </c>
      <c r="H19" s="212">
        <f>H18/$M$18*'Vzdělávací činnost'!$D$6</f>
        <v>1013394.0047910435</v>
      </c>
      <c r="I19" s="212">
        <f>I18/$M$18*'Vzdělávací činnost'!$D$6</f>
        <v>2791050.0131953042</v>
      </c>
      <c r="J19" s="212">
        <f>J18/$M$18*'Vzdělávací činnost'!$D$6</f>
        <v>15264200.072164871</v>
      </c>
      <c r="K19" s="212">
        <f>K18/$M$18*'Vzdělávací činnost'!$D$6</f>
        <v>16583668.078402946</v>
      </c>
      <c r="L19" s="212">
        <f>L18/$M$18*'Vzdělávací činnost'!$D$6</f>
        <v>9060.0000428331477</v>
      </c>
      <c r="M19" s="212">
        <f>SUM(B19:L19)</f>
        <v>49322151.233181342</v>
      </c>
    </row>
    <row r="21" spans="1:13" ht="10.15" customHeight="1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3" spans="1:13" ht="10.15" customHeight="1"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209"/>
    </row>
    <row r="26" spans="1:13" ht="10.15" customHeight="1">
      <c r="K26" s="209"/>
      <c r="L26" s="208"/>
    </row>
  </sheetData>
  <mergeCells count="13">
    <mergeCell ref="E1:E2"/>
    <mergeCell ref="F1:F2"/>
    <mergeCell ref="G1:G2"/>
    <mergeCell ref="A1:A2"/>
    <mergeCell ref="M1:M2"/>
    <mergeCell ref="H1:H2"/>
    <mergeCell ref="I1:I2"/>
    <mergeCell ref="J1:J2"/>
    <mergeCell ref="K1:K2"/>
    <mergeCell ref="L1:L2"/>
    <mergeCell ref="B1:B2"/>
    <mergeCell ref="C1:C2"/>
    <mergeCell ref="D1:D2"/>
  </mergeCells>
  <pageMargins left="0.74791666666666667" right="0.74791666666666667" top="0.84513888888888888" bottom="0.98402777777777783" header="0.49236111111111114" footer="0.49236111111111114"/>
  <pageSetup paperSize="9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161"/>
    <pageSetUpPr fitToPage="1"/>
  </sheetPr>
  <dimension ref="A1:F23"/>
  <sheetViews>
    <sheetView showZeros="0" zoomScaleNormal="100" workbookViewId="0">
      <selection activeCell="D25" sqref="D25"/>
    </sheetView>
  </sheetViews>
  <sheetFormatPr defaultColWidth="8.7109375" defaultRowHeight="14.65" customHeight="1"/>
  <cols>
    <col min="1" max="1" width="37.42578125" style="233" customWidth="1"/>
    <col min="2" max="4" width="15.42578125" style="233" customWidth="1"/>
    <col min="5" max="5" width="14.42578125" style="233" customWidth="1"/>
    <col min="6" max="6" width="13.7109375" style="233" customWidth="1"/>
    <col min="7" max="7" width="12.42578125" style="233" customWidth="1"/>
    <col min="8" max="8" width="11.28515625" style="233" customWidth="1"/>
    <col min="9" max="9" width="17.140625" style="233" customWidth="1"/>
    <col min="10" max="10" width="18.42578125" style="233" customWidth="1"/>
    <col min="11" max="11" width="14.28515625" style="233" customWidth="1"/>
    <col min="12" max="12" width="16.42578125" style="233" customWidth="1"/>
    <col min="13" max="13" width="13.42578125" style="233" customWidth="1"/>
    <col min="14" max="15" width="12.42578125" style="233" bestFit="1" customWidth="1"/>
    <col min="16" max="16384" width="8.7109375" style="233"/>
  </cols>
  <sheetData>
    <row r="1" spans="1:6" ht="14.65" customHeight="1" thickBot="1">
      <c r="A1" s="682" t="s">
        <v>526</v>
      </c>
      <c r="B1" s="683"/>
      <c r="C1" s="656">
        <v>2018</v>
      </c>
    </row>
    <row r="2" spans="1:6" ht="14.65" customHeight="1">
      <c r="A2" s="395" t="s">
        <v>81</v>
      </c>
      <c r="B2" s="396">
        <v>40504801</v>
      </c>
      <c r="C2" s="396">
        <v>44364936</v>
      </c>
    </row>
    <row r="3" spans="1:6" ht="14.65" customHeight="1">
      <c r="A3" s="83" t="s">
        <v>80</v>
      </c>
      <c r="B3" s="269">
        <v>759660</v>
      </c>
      <c r="C3" s="269">
        <v>460123</v>
      </c>
    </row>
    <row r="4" spans="1:6" ht="14.65" customHeight="1">
      <c r="A4" s="261" t="s">
        <v>79</v>
      </c>
      <c r="B4" s="260">
        <v>2185405</v>
      </c>
      <c r="C4" s="260">
        <v>2408368</v>
      </c>
    </row>
    <row r="5" spans="1:6" ht="14.65" customHeight="1" thickBot="1">
      <c r="A5" s="262" t="s">
        <v>74</v>
      </c>
      <c r="B5" s="270">
        <f>SUM(B2:B4)</f>
        <v>43449866</v>
      </c>
      <c r="C5" s="270">
        <f>SUM(C2:C4)</f>
        <v>47233427</v>
      </c>
      <c r="D5" s="353"/>
    </row>
    <row r="6" spans="1:6" ht="14.65" customHeight="1" thickBot="1">
      <c r="A6" s="75"/>
      <c r="B6" s="110"/>
    </row>
    <row r="7" spans="1:6" ht="14.65" customHeight="1" thickBot="1">
      <c r="A7" s="682" t="s">
        <v>78</v>
      </c>
      <c r="B7" s="683"/>
      <c r="C7" s="655"/>
      <c r="D7" s="378"/>
    </row>
    <row r="8" spans="1:6" ht="14.65" customHeight="1">
      <c r="A8" s="261" t="s">
        <v>77</v>
      </c>
      <c r="B8" s="260">
        <v>7695912.1900000004</v>
      </c>
      <c r="C8" s="396">
        <v>8429338</v>
      </c>
    </row>
    <row r="9" spans="1:6" ht="14.65" customHeight="1">
      <c r="A9" s="109" t="s">
        <v>76</v>
      </c>
      <c r="B9" s="269">
        <v>29500113</v>
      </c>
      <c r="C9" s="269">
        <v>29637575</v>
      </c>
    </row>
    <row r="10" spans="1:6" ht="14.65" customHeight="1">
      <c r="A10" s="259" t="s">
        <v>75</v>
      </c>
      <c r="B10" s="260">
        <v>3308776.4506499991</v>
      </c>
      <c r="C10" s="260">
        <v>4462779</v>
      </c>
    </row>
    <row r="11" spans="1:6" s="468" customFormat="1" ht="14.65" customHeight="1">
      <c r="A11" s="470" t="s">
        <v>581</v>
      </c>
      <c r="B11" s="469">
        <v>0</v>
      </c>
      <c r="C11" s="469">
        <v>1835244</v>
      </c>
    </row>
    <row r="12" spans="1:6" ht="14.65" customHeight="1" thickBot="1">
      <c r="A12" s="262" t="s">
        <v>74</v>
      </c>
      <c r="B12" s="270">
        <f>SUM(B8:B11)</f>
        <v>40504801.640649997</v>
      </c>
      <c r="C12" s="270">
        <f>SUM(C8:C11)</f>
        <v>44364936</v>
      </c>
    </row>
    <row r="13" spans="1:6" ht="14.65" customHeight="1" thickBot="1"/>
    <row r="14" spans="1:6" ht="14.65" customHeight="1">
      <c r="A14" s="684" t="s">
        <v>326</v>
      </c>
      <c r="B14" s="685"/>
      <c r="C14" s="685"/>
      <c r="D14" s="685"/>
      <c r="E14" s="398"/>
    </row>
    <row r="15" spans="1:6" s="397" customFormat="1" ht="36">
      <c r="A15" s="399"/>
      <c r="B15" s="657" t="s">
        <v>893</v>
      </c>
      <c r="C15" s="379" t="s">
        <v>895</v>
      </c>
      <c r="D15" s="379" t="s">
        <v>894</v>
      </c>
      <c r="E15" s="294" t="s">
        <v>527</v>
      </c>
      <c r="F15" s="397" t="s">
        <v>528</v>
      </c>
    </row>
    <row r="16" spans="1:6" s="74" customFormat="1" ht="14.65" customHeight="1">
      <c r="A16" s="400" t="s">
        <v>39</v>
      </c>
      <c r="B16" s="264">
        <v>9276763</v>
      </c>
      <c r="C16" s="264">
        <v>447891</v>
      </c>
      <c r="D16" s="264">
        <v>8828872</v>
      </c>
      <c r="E16" s="264">
        <v>8448555</v>
      </c>
      <c r="F16" s="74">
        <f>E16/B16</f>
        <v>0.91072230690813161</v>
      </c>
    </row>
    <row r="17" spans="1:6" s="74" customFormat="1" ht="14.65" customHeight="1">
      <c r="A17" s="401" t="s">
        <v>52</v>
      </c>
      <c r="B17" s="118">
        <v>3890792</v>
      </c>
      <c r="C17" s="118">
        <v>577750</v>
      </c>
      <c r="D17" s="118">
        <v>3313041.61</v>
      </c>
      <c r="E17" s="118">
        <v>4675983</v>
      </c>
      <c r="F17" s="74">
        <f t="shared" ref="F17:F21" si="0">E17/B17</f>
        <v>1.2018074983191083</v>
      </c>
    </row>
    <row r="18" spans="1:6" s="74" customFormat="1" ht="14.65" customHeight="1">
      <c r="A18" s="400" t="s">
        <v>41</v>
      </c>
      <c r="B18" s="264">
        <v>7325896.8248100001</v>
      </c>
      <c r="C18" s="264">
        <v>0</v>
      </c>
      <c r="D18" s="264">
        <v>7325896.8200000003</v>
      </c>
      <c r="E18" s="264">
        <v>6535478</v>
      </c>
      <c r="F18" s="74">
        <f t="shared" si="0"/>
        <v>0.89210620300668786</v>
      </c>
    </row>
    <row r="19" spans="1:6" s="74" customFormat="1" ht="14.65" customHeight="1">
      <c r="A19" s="401" t="s">
        <v>42</v>
      </c>
      <c r="B19" s="118">
        <v>5518783.2186899995</v>
      </c>
      <c r="C19" s="118">
        <v>0</v>
      </c>
      <c r="D19" s="118">
        <v>5518783.2199999997</v>
      </c>
      <c r="E19" s="118">
        <v>6017288</v>
      </c>
      <c r="F19" s="74">
        <f t="shared" si="0"/>
        <v>1.0903287484860351</v>
      </c>
    </row>
    <row r="20" spans="1:6" s="74" customFormat="1" ht="14.65" customHeight="1">
      <c r="A20" s="400" t="s">
        <v>40</v>
      </c>
      <c r="B20" s="264">
        <v>3184094</v>
      </c>
      <c r="C20" s="264">
        <v>176503</v>
      </c>
      <c r="D20" s="264">
        <v>3007590.85</v>
      </c>
      <c r="E20" s="264">
        <v>2947702</v>
      </c>
      <c r="F20" s="74">
        <f t="shared" si="0"/>
        <v>0.92575847321090399</v>
      </c>
    </row>
    <row r="21" spans="1:6" s="74" customFormat="1" ht="14.65" customHeight="1">
      <c r="A21" s="401" t="s">
        <v>274</v>
      </c>
      <c r="B21" s="118">
        <v>1505928.01</v>
      </c>
      <c r="C21" s="118">
        <v>0</v>
      </c>
      <c r="D21" s="118">
        <v>1505928.01</v>
      </c>
      <c r="E21" s="118">
        <v>1012569</v>
      </c>
      <c r="F21" s="74">
        <f t="shared" si="0"/>
        <v>0.67238871531448574</v>
      </c>
    </row>
    <row r="22" spans="1:6" s="74" customFormat="1" ht="14.65" customHeight="1">
      <c r="A22" s="457"/>
      <c r="B22" s="458"/>
      <c r="C22" s="458"/>
      <c r="D22" s="459"/>
      <c r="E22" s="394"/>
    </row>
    <row r="23" spans="1:6" s="74" customFormat="1" ht="14.65" customHeight="1" thickBot="1">
      <c r="A23" s="402" t="s">
        <v>74</v>
      </c>
      <c r="B23" s="403">
        <f>SUM(B16:B22)</f>
        <v>30702257.0535</v>
      </c>
      <c r="C23" s="114">
        <f>SUM(C16:C22)</f>
        <v>1202144</v>
      </c>
      <c r="D23" s="403">
        <f>SUM(D16:D22)</f>
        <v>29500112.510000002</v>
      </c>
      <c r="E23" s="404">
        <f>SUM(E16:E22)</f>
        <v>29637575</v>
      </c>
    </row>
  </sheetData>
  <mergeCells count="3">
    <mergeCell ref="A1:B1"/>
    <mergeCell ref="A7:B7"/>
    <mergeCell ref="A14:D14"/>
  </mergeCells>
  <pageMargins left="0.74791666666666667" right="0.74791666666666667" top="0.67986111111111114" bottom="0.34027777777777779" header="0.22986111111111113" footer="0.1701388888888889"/>
  <pageSetup paperSize="9" firstPageNumber="0" orientation="landscape" horizontalDpi="300" verticalDpi="300" r:id="rId1"/>
  <headerFooter alignWithMargins="0">
    <oddHeader>&amp;RTabulka &amp;A</oddHeader>
    <oddFooter>&amp;C&amp;F&amp;R&amp;P/&amp;N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161"/>
  </sheetPr>
  <dimension ref="A1:E18"/>
  <sheetViews>
    <sheetView workbookViewId="0">
      <selection activeCell="H9" sqref="H9"/>
    </sheetView>
  </sheetViews>
  <sheetFormatPr defaultColWidth="7" defaultRowHeight="12" customHeight="1"/>
  <cols>
    <col min="1" max="1" width="22.140625" style="74" customWidth="1"/>
    <col min="2" max="5" width="8.140625" style="74" customWidth="1"/>
    <col min="6" max="16384" width="7" style="74"/>
  </cols>
  <sheetData>
    <row r="1" spans="1:5" ht="27" customHeight="1">
      <c r="A1" s="122" t="s">
        <v>529</v>
      </c>
      <c r="B1" s="121">
        <v>2017</v>
      </c>
      <c r="C1" s="266">
        <v>2018</v>
      </c>
      <c r="D1" s="120" t="s">
        <v>56</v>
      </c>
      <c r="E1" s="102"/>
    </row>
    <row r="2" spans="1:5" ht="12" customHeight="1">
      <c r="A2" s="263" t="s">
        <v>39</v>
      </c>
      <c r="B2" s="264">
        <v>1387000</v>
      </c>
      <c r="C2" s="264">
        <v>1387000</v>
      </c>
      <c r="D2" s="265">
        <f t="shared" ref="D2:D7" si="0">C2-B2</f>
        <v>0</v>
      </c>
      <c r="E2" s="116"/>
    </row>
    <row r="3" spans="1:5" ht="12" customHeight="1">
      <c r="A3" s="119" t="s">
        <v>52</v>
      </c>
      <c r="B3" s="118">
        <v>709000</v>
      </c>
      <c r="C3" s="267">
        <v>709000</v>
      </c>
      <c r="D3" s="117">
        <f t="shared" si="0"/>
        <v>0</v>
      </c>
      <c r="E3" s="116"/>
    </row>
    <row r="4" spans="1:5" ht="12" customHeight="1">
      <c r="A4" s="263" t="s">
        <v>41</v>
      </c>
      <c r="B4" s="264">
        <v>1257000</v>
      </c>
      <c r="C4" s="264">
        <v>1257000</v>
      </c>
      <c r="D4" s="265">
        <f t="shared" si="0"/>
        <v>0</v>
      </c>
      <c r="E4" s="116"/>
    </row>
    <row r="5" spans="1:5" ht="12" customHeight="1">
      <c r="A5" s="119" t="s">
        <v>42</v>
      </c>
      <c r="B5" s="118">
        <v>1039000</v>
      </c>
      <c r="C5" s="267">
        <v>1039000</v>
      </c>
      <c r="D5" s="117">
        <f t="shared" si="0"/>
        <v>0</v>
      </c>
      <c r="E5" s="116"/>
    </row>
    <row r="6" spans="1:5" ht="12" customHeight="1">
      <c r="A6" s="263" t="s">
        <v>40</v>
      </c>
      <c r="B6" s="264">
        <v>934000</v>
      </c>
      <c r="C6" s="264">
        <v>942000</v>
      </c>
      <c r="D6" s="265">
        <f t="shared" si="0"/>
        <v>8000</v>
      </c>
      <c r="E6" s="116"/>
    </row>
    <row r="7" spans="1:5" ht="12" customHeight="1" thickBot="1">
      <c r="A7" s="115" t="s">
        <v>43</v>
      </c>
      <c r="B7" s="114">
        <f>SUM(B2:B6)</f>
        <v>5326000</v>
      </c>
      <c r="C7" s="268">
        <f>SUM(C2:C6)</f>
        <v>5334000</v>
      </c>
      <c r="D7" s="113">
        <f t="shared" si="0"/>
        <v>8000</v>
      </c>
    </row>
    <row r="8" spans="1:5" ht="6" customHeight="1"/>
    <row r="9" spans="1:5" ht="12" customHeight="1">
      <c r="A9" s="74" t="s">
        <v>82</v>
      </c>
      <c r="B9" s="112"/>
    </row>
    <row r="12" spans="1:5" ht="12" customHeight="1">
      <c r="A12" s="111"/>
    </row>
    <row r="13" spans="1:5" ht="12" customHeight="1">
      <c r="A13" s="111"/>
    </row>
    <row r="14" spans="1:5" ht="12" customHeight="1">
      <c r="A14" s="111"/>
    </row>
    <row r="15" spans="1:5" ht="12" customHeight="1">
      <c r="A15" s="111"/>
    </row>
    <row r="16" spans="1:5" ht="12" customHeight="1">
      <c r="A16" s="111"/>
    </row>
    <row r="17" spans="1:1" ht="12" customHeight="1">
      <c r="A17" s="111"/>
    </row>
    <row r="18" spans="1:1" ht="12" customHeight="1">
      <c r="A18" s="11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H40"/>
  <sheetViews>
    <sheetView topLeftCell="C1" workbookViewId="0">
      <selection activeCell="G16" sqref="G16"/>
    </sheetView>
  </sheetViews>
  <sheetFormatPr defaultColWidth="35.7109375" defaultRowHeight="9"/>
  <cols>
    <col min="1" max="1" width="24.7109375" style="242" hidden="1" customWidth="1"/>
    <col min="2" max="2" width="13.7109375" style="242" hidden="1" customWidth="1"/>
    <col min="3" max="3" width="29" style="242" customWidth="1"/>
    <col min="4" max="7" width="9.140625" style="242" customWidth="1"/>
    <col min="8" max="9" width="8.42578125" style="242" customWidth="1"/>
    <col min="10" max="249" width="16.7109375" style="242" customWidth="1"/>
    <col min="250" max="16384" width="35.7109375" style="242"/>
  </cols>
  <sheetData>
    <row r="1" spans="3:7" ht="24" customHeight="1">
      <c r="C1" s="238" t="s">
        <v>253</v>
      </c>
      <c r="D1" s="249" t="s">
        <v>522</v>
      </c>
      <c r="E1" s="250" t="s">
        <v>254</v>
      </c>
      <c r="F1" s="250" t="s">
        <v>255</v>
      </c>
      <c r="G1" s="278" t="s">
        <v>530</v>
      </c>
    </row>
    <row r="2" spans="3:7" ht="12.75" customHeight="1">
      <c r="C2" s="271" t="s">
        <v>256</v>
      </c>
      <c r="D2" s="272">
        <f>SUM(D4:D13)</f>
        <v>90889.780760000009</v>
      </c>
      <c r="E2" s="272">
        <f>SUM(E4:E13)</f>
        <v>0</v>
      </c>
      <c r="F2" s="272">
        <f>SUM(F4:F13)</f>
        <v>20480.846999999998</v>
      </c>
      <c r="G2" s="273">
        <f>D2+E2-F2</f>
        <v>70408.933760000014</v>
      </c>
    </row>
    <row r="3" spans="3:7" ht="12.75" customHeight="1">
      <c r="C3" s="256" t="s">
        <v>257</v>
      </c>
      <c r="D3" s="253"/>
      <c r="E3" s="253"/>
      <c r="F3" s="253"/>
      <c r="G3" s="279"/>
    </row>
    <row r="4" spans="3:7" ht="12.75" customHeight="1">
      <c r="C4" s="251" t="s">
        <v>39</v>
      </c>
      <c r="D4" s="252">
        <v>14901.859350000001</v>
      </c>
      <c r="E4" s="252"/>
      <c r="F4" s="252"/>
      <c r="G4" s="280">
        <f>D4+E4-F4</f>
        <v>14901.859350000001</v>
      </c>
    </row>
    <row r="5" spans="3:7" ht="12.75" customHeight="1">
      <c r="C5" s="251" t="s">
        <v>52</v>
      </c>
      <c r="D5" s="252">
        <v>9513.5556799999995</v>
      </c>
      <c r="E5" s="252"/>
      <c r="F5" s="252"/>
      <c r="G5" s="280">
        <f t="shared" ref="G5:G13" si="0">D5+E5-F5</f>
        <v>9513.5556799999995</v>
      </c>
    </row>
    <row r="6" spans="3:7" ht="12.75" customHeight="1">
      <c r="C6" s="251" t="s">
        <v>41</v>
      </c>
      <c r="D6" s="252">
        <v>3800.9987099999998</v>
      </c>
      <c r="E6" s="252"/>
      <c r="F6" s="252"/>
      <c r="G6" s="280">
        <f t="shared" si="0"/>
        <v>3800.9987099999998</v>
      </c>
    </row>
    <row r="7" spans="3:7" ht="12.75" customHeight="1">
      <c r="C7" s="251" t="s">
        <v>42</v>
      </c>
      <c r="D7" s="252">
        <v>7055.2964499999998</v>
      </c>
      <c r="E7" s="252"/>
      <c r="F7" s="237"/>
      <c r="G7" s="280">
        <f t="shared" si="0"/>
        <v>7055.2964499999998</v>
      </c>
    </row>
    <row r="8" spans="3:7" ht="12.75" customHeight="1">
      <c r="C8" s="251" t="s">
        <v>40</v>
      </c>
      <c r="D8" s="252">
        <v>2944.4050400000001</v>
      </c>
      <c r="E8" s="252"/>
      <c r="F8" s="252"/>
      <c r="G8" s="280">
        <f t="shared" si="0"/>
        <v>2944.4050400000001</v>
      </c>
    </row>
    <row r="9" spans="3:7" ht="12.75" customHeight="1">
      <c r="C9" s="251" t="s">
        <v>523</v>
      </c>
      <c r="D9" s="252">
        <v>2153.1053000000002</v>
      </c>
      <c r="E9" s="252"/>
      <c r="F9" s="252">
        <v>398.98</v>
      </c>
      <c r="G9" s="280">
        <f t="shared" si="0"/>
        <v>1754.1253000000002</v>
      </c>
    </row>
    <row r="10" spans="3:7" ht="12.75" customHeight="1">
      <c r="C10" s="251" t="s">
        <v>274</v>
      </c>
      <c r="D10" s="252">
        <v>216.09234000000001</v>
      </c>
      <c r="E10" s="252"/>
      <c r="F10" s="252"/>
      <c r="G10" s="280">
        <f t="shared" si="0"/>
        <v>216.09234000000001</v>
      </c>
    </row>
    <row r="11" spans="3:7" ht="12.75" customHeight="1">
      <c r="C11" s="251" t="s">
        <v>258</v>
      </c>
      <c r="D11" s="252">
        <v>10489.951639999999</v>
      </c>
      <c r="E11" s="252"/>
      <c r="F11" s="253"/>
      <c r="G11" s="280">
        <f t="shared" si="0"/>
        <v>10489.951639999999</v>
      </c>
    </row>
    <row r="12" spans="3:7" ht="12.75" customHeight="1">
      <c r="C12" s="251" t="s">
        <v>38</v>
      </c>
      <c r="D12" s="252">
        <v>33504.866349999997</v>
      </c>
      <c r="E12" s="252"/>
      <c r="F12" s="253">
        <f>19104.085+977.782</f>
        <v>20081.866999999998</v>
      </c>
      <c r="G12" s="280">
        <f t="shared" si="0"/>
        <v>13422.999349999998</v>
      </c>
    </row>
    <row r="13" spans="3:7" ht="12.75" customHeight="1">
      <c r="C13" s="251" t="s">
        <v>118</v>
      </c>
      <c r="D13" s="252">
        <v>6309.6499000000003</v>
      </c>
      <c r="E13" s="252"/>
      <c r="F13" s="253"/>
      <c r="G13" s="280">
        <f t="shared" si="0"/>
        <v>6309.6499000000003</v>
      </c>
    </row>
    <row r="14" spans="3:7" ht="12.75" customHeight="1">
      <c r="C14" s="271" t="s">
        <v>259</v>
      </c>
      <c r="D14" s="272">
        <v>3436.172</v>
      </c>
      <c r="E14" s="272">
        <v>0</v>
      </c>
      <c r="F14" s="272">
        <v>0</v>
      </c>
      <c r="G14" s="273">
        <f>D14+E14-F14</f>
        <v>3436.172</v>
      </c>
    </row>
    <row r="15" spans="3:7" ht="12.75" customHeight="1">
      <c r="C15" s="241" t="s">
        <v>260</v>
      </c>
      <c r="D15" s="253">
        <v>12917.3992</v>
      </c>
      <c r="E15" s="253">
        <f>19104.085+4778.853</f>
        <v>23882.937999999998</v>
      </c>
      <c r="F15" s="253">
        <v>23472.347000000002</v>
      </c>
      <c r="G15" s="279">
        <f>D15+E15-F15</f>
        <v>13327.990199999993</v>
      </c>
    </row>
    <row r="16" spans="3:7" ht="12.75" customHeight="1">
      <c r="C16" s="271" t="s">
        <v>261</v>
      </c>
      <c r="D16" s="272">
        <v>5618.7182599999996</v>
      </c>
      <c r="E16" s="272">
        <v>12000</v>
      </c>
      <c r="F16" s="272">
        <v>12050</v>
      </c>
      <c r="G16" s="273">
        <f>D16+E16-F16</f>
        <v>5568.7182600000015</v>
      </c>
    </row>
    <row r="17" spans="1:8" ht="12.75" customHeight="1">
      <c r="C17" s="241" t="s">
        <v>262</v>
      </c>
      <c r="D17" s="253">
        <v>100</v>
      </c>
      <c r="E17" s="253">
        <v>0</v>
      </c>
      <c r="F17" s="253">
        <v>70</v>
      </c>
      <c r="G17" s="279">
        <v>30</v>
      </c>
    </row>
    <row r="18" spans="1:8" ht="12.75" customHeight="1">
      <c r="C18" s="271" t="s">
        <v>263</v>
      </c>
      <c r="D18" s="272">
        <v>7155.0200699999996</v>
      </c>
      <c r="E18" s="272"/>
      <c r="F18" s="272"/>
      <c r="G18" s="273">
        <f>D18+E18-F18</f>
        <v>7155.0200699999996</v>
      </c>
    </row>
    <row r="19" spans="1:8" ht="12" customHeight="1">
      <c r="C19" s="241" t="s">
        <v>264</v>
      </c>
      <c r="D19" s="253">
        <v>5707.1495000000004</v>
      </c>
      <c r="E19" s="253">
        <v>2590</v>
      </c>
      <c r="F19" s="253">
        <v>3059.748</v>
      </c>
      <c r="G19" s="279">
        <f>D19+E19-F19</f>
        <v>5237.4014999999999</v>
      </c>
    </row>
    <row r="20" spans="1:8" ht="12.75" hidden="1" customHeight="1">
      <c r="C20" s="241" t="s">
        <v>265</v>
      </c>
      <c r="D20" s="253"/>
      <c r="E20" s="253"/>
      <c r="F20" s="253"/>
      <c r="G20" s="254"/>
    </row>
    <row r="21" spans="1:8" ht="12.75" hidden="1" customHeight="1">
      <c r="C21" s="241" t="s">
        <v>266</v>
      </c>
      <c r="D21" s="253">
        <v>0</v>
      </c>
      <c r="E21" s="257"/>
      <c r="F21" s="257"/>
      <c r="G21" s="258"/>
    </row>
    <row r="22" spans="1:8" ht="12.75" hidden="1" customHeight="1">
      <c r="C22" s="241" t="s">
        <v>267</v>
      </c>
      <c r="D22" s="253">
        <v>0</v>
      </c>
      <c r="E22" s="257"/>
      <c r="F22" s="257"/>
      <c r="G22" s="258"/>
    </row>
    <row r="23" spans="1:8" ht="12.75" hidden="1" customHeight="1">
      <c r="C23" s="241" t="s">
        <v>268</v>
      </c>
      <c r="D23" s="253">
        <v>0</v>
      </c>
      <c r="E23" s="257"/>
      <c r="F23" s="257"/>
      <c r="G23" s="258"/>
    </row>
    <row r="24" spans="1:8" ht="9.75" hidden="1">
      <c r="C24" s="241" t="s">
        <v>269</v>
      </c>
      <c r="D24" s="253">
        <v>0</v>
      </c>
      <c r="E24" s="257"/>
      <c r="F24" s="257"/>
      <c r="G24" s="258"/>
    </row>
    <row r="25" spans="1:8" ht="12.75" customHeight="1">
      <c r="C25" s="271" t="s">
        <v>270</v>
      </c>
      <c r="D25" s="272"/>
      <c r="E25" s="272"/>
      <c r="F25" s="272"/>
      <c r="G25" s="274">
        <v>0</v>
      </c>
    </row>
    <row r="26" spans="1:8" ht="12.75" customHeight="1" thickBot="1">
      <c r="C26" s="275" t="s">
        <v>271</v>
      </c>
      <c r="D26" s="276">
        <f>D2+D14+D15+D16+D17+D18+D19</f>
        <v>125824.23979000001</v>
      </c>
      <c r="E26" s="276">
        <f>E2+E14+E15+E16+E17+E18+E19</f>
        <v>38472.937999999995</v>
      </c>
      <c r="F26" s="276">
        <f>F2+F14+F15+F16+F17+F18+F19</f>
        <v>59132.942000000003</v>
      </c>
      <c r="G26" s="277">
        <f>D26+E26-F26</f>
        <v>105164.23578999998</v>
      </c>
      <c r="H26" s="471">
        <f>G2+G14+G15+G16+G17+G18+G19</f>
        <v>105164.23579000001</v>
      </c>
    </row>
    <row r="27" spans="1:8" ht="12.75" customHeight="1">
      <c r="A27" s="240" t="s">
        <v>273</v>
      </c>
      <c r="C27" s="240" t="s">
        <v>272</v>
      </c>
    </row>
    <row r="28" spans="1:8" ht="12.75" customHeight="1">
      <c r="A28" s="240"/>
      <c r="B28" s="255"/>
    </row>
    <row r="29" spans="1:8">
      <c r="A29" s="242" t="s">
        <v>41</v>
      </c>
      <c r="B29" s="242">
        <v>5407669.0300000003</v>
      </c>
    </row>
    <row r="30" spans="1:8" ht="9.75">
      <c r="A30" s="242" t="s">
        <v>40</v>
      </c>
      <c r="B30" s="242">
        <v>3469524.59</v>
      </c>
      <c r="F30" s="288"/>
    </row>
    <row r="31" spans="1:8" ht="9.75">
      <c r="A31" s="242" t="s">
        <v>274</v>
      </c>
      <c r="B31" s="242">
        <v>600026.12</v>
      </c>
      <c r="F31" s="288"/>
    </row>
    <row r="32" spans="1:8" ht="9.75">
      <c r="A32" s="242" t="s">
        <v>275</v>
      </c>
      <c r="B32" s="242">
        <v>1187360.56</v>
      </c>
      <c r="F32" s="288"/>
    </row>
    <row r="33" spans="1:6" ht="9.75">
      <c r="A33" s="242" t="s">
        <v>258</v>
      </c>
      <c r="B33" s="242">
        <v>388581.77</v>
      </c>
      <c r="F33" s="288"/>
    </row>
    <row r="34" spans="1:6" ht="9.75">
      <c r="A34" s="242" t="s">
        <v>276</v>
      </c>
      <c r="B34" s="242">
        <v>4469816.0300000012</v>
      </c>
      <c r="F34" s="288"/>
    </row>
    <row r="35" spans="1:6" ht="9.75">
      <c r="F35" s="288"/>
    </row>
    <row r="36" spans="1:6" ht="9.75">
      <c r="F36" s="288"/>
    </row>
    <row r="37" spans="1:6" ht="9.75">
      <c r="F37" s="288"/>
    </row>
    <row r="38" spans="1:6" ht="9.75">
      <c r="F38" s="288"/>
    </row>
    <row r="40" spans="1:6" ht="9.75">
      <c r="F40" s="28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4"/>
  <sheetViews>
    <sheetView workbookViewId="0">
      <selection activeCell="A9" sqref="A9"/>
    </sheetView>
  </sheetViews>
  <sheetFormatPr defaultColWidth="8.7109375" defaultRowHeight="15"/>
  <cols>
    <col min="1" max="1" width="43" style="1" customWidth="1"/>
    <col min="2" max="4" width="14.42578125" style="1" customWidth="1"/>
    <col min="5" max="16384" width="8.7109375" style="1"/>
  </cols>
  <sheetData>
    <row r="1" spans="1:7">
      <c r="A1" s="281"/>
      <c r="B1" s="282" t="s">
        <v>241</v>
      </c>
      <c r="C1" s="282" t="s">
        <v>510</v>
      </c>
      <c r="D1" s="286" t="s">
        <v>511</v>
      </c>
      <c r="E1" s="240"/>
      <c r="F1" s="240"/>
      <c r="G1" s="240"/>
    </row>
    <row r="2" spans="1:7">
      <c r="A2" s="246" t="s">
        <v>242</v>
      </c>
      <c r="B2" s="244">
        <v>3702573</v>
      </c>
      <c r="C2" s="244">
        <v>3702573</v>
      </c>
      <c r="D2" s="245">
        <f>C11</f>
        <v>5618718</v>
      </c>
      <c r="E2" s="242"/>
      <c r="F2" s="242"/>
      <c r="G2" s="242"/>
    </row>
    <row r="3" spans="1:7">
      <c r="A3" s="246" t="s">
        <v>243</v>
      </c>
      <c r="B3" s="244">
        <v>9000000</v>
      </c>
      <c r="C3" s="244">
        <v>12222417</v>
      </c>
      <c r="D3" s="245">
        <v>12000000</v>
      </c>
      <c r="E3" s="242"/>
      <c r="F3" s="242"/>
      <c r="G3" s="242"/>
    </row>
    <row r="4" spans="1:7">
      <c r="A4" s="283" t="s">
        <v>244</v>
      </c>
      <c r="B4" s="284">
        <f>SUM(B5:B10)</f>
        <v>10450000</v>
      </c>
      <c r="C4" s="284">
        <f>SUM(C5:C10)</f>
        <v>10306272</v>
      </c>
      <c r="D4" s="285">
        <f>SUM(D5:D10)</f>
        <v>12050000</v>
      </c>
      <c r="E4" s="242"/>
      <c r="F4" s="242"/>
      <c r="G4" s="242"/>
    </row>
    <row r="5" spans="1:7">
      <c r="A5" s="248" t="s">
        <v>252</v>
      </c>
      <c r="B5" s="244">
        <v>5150000</v>
      </c>
      <c r="C5" s="244">
        <v>5855700</v>
      </c>
      <c r="D5" s="245">
        <v>6000000</v>
      </c>
      <c r="E5" s="242"/>
      <c r="F5" s="242"/>
      <c r="G5" s="242"/>
    </row>
    <row r="6" spans="1:7">
      <c r="A6" s="248" t="s">
        <v>890</v>
      </c>
      <c r="B6" s="244">
        <v>2000000</v>
      </c>
      <c r="C6" s="244">
        <v>1657267</v>
      </c>
      <c r="D6" s="245">
        <v>2000000</v>
      </c>
      <c r="E6" s="242"/>
      <c r="G6" s="242"/>
    </row>
    <row r="7" spans="1:7">
      <c r="A7" s="248" t="s">
        <v>891</v>
      </c>
      <c r="B7" s="244">
        <v>1500000</v>
      </c>
      <c r="C7" s="244">
        <v>686012</v>
      </c>
      <c r="D7" s="245">
        <v>1500000</v>
      </c>
      <c r="E7" s="242"/>
      <c r="F7" s="242"/>
      <c r="G7" s="242"/>
    </row>
    <row r="8" spans="1:7">
      <c r="A8" s="248" t="s">
        <v>892</v>
      </c>
      <c r="B8" s="244">
        <v>600000</v>
      </c>
      <c r="C8" s="244">
        <v>833039</v>
      </c>
      <c r="D8" s="245">
        <v>600000</v>
      </c>
      <c r="E8" s="242"/>
      <c r="F8" s="242"/>
      <c r="G8" s="242"/>
    </row>
    <row r="9" spans="1:7">
      <c r="A9" s="452" t="s">
        <v>889</v>
      </c>
      <c r="B9" s="453">
        <v>200000</v>
      </c>
      <c r="C9" s="453">
        <v>267100</v>
      </c>
      <c r="D9" s="454">
        <v>450000</v>
      </c>
      <c r="E9" s="242"/>
      <c r="F9" s="242"/>
      <c r="G9" s="242"/>
    </row>
    <row r="10" spans="1:7">
      <c r="A10" s="452" t="s">
        <v>582</v>
      </c>
      <c r="B10" s="453">
        <v>1000000</v>
      </c>
      <c r="C10" s="453">
        <v>1007154</v>
      </c>
      <c r="D10" s="454">
        <v>1500000</v>
      </c>
      <c r="E10" s="242"/>
      <c r="F10" s="242"/>
      <c r="G10" s="242"/>
    </row>
    <row r="11" spans="1:7" ht="15.75" thickBot="1">
      <c r="A11" s="463" t="s">
        <v>277</v>
      </c>
      <c r="B11" s="464">
        <f>B2+B3-B4</f>
        <v>2252573</v>
      </c>
      <c r="C11" s="464">
        <f t="shared" ref="C11:D11" si="0">C2+C3-C4</f>
        <v>5618718</v>
      </c>
      <c r="D11" s="287">
        <f t="shared" si="0"/>
        <v>5568718</v>
      </c>
      <c r="E11" s="242"/>
      <c r="F11" s="242"/>
      <c r="G11" s="242"/>
    </row>
    <row r="12" spans="1:7">
      <c r="B12" s="247"/>
      <c r="C12" s="242"/>
      <c r="D12" s="242"/>
      <c r="E12" s="242"/>
      <c r="F12" s="242"/>
      <c r="G12" s="242"/>
    </row>
    <row r="13" spans="1:7">
      <c r="A13" s="240"/>
      <c r="C13" s="455"/>
    </row>
    <row r="14" spans="1:7">
      <c r="A14" s="242"/>
      <c r="D14" s="455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6"/>
  <sheetViews>
    <sheetView workbookViewId="0">
      <selection activeCell="A15" sqref="A15"/>
    </sheetView>
  </sheetViews>
  <sheetFormatPr defaultColWidth="8.7109375" defaultRowHeight="15"/>
  <cols>
    <col min="1" max="1" width="22" customWidth="1"/>
    <col min="2" max="4" width="14.42578125" customWidth="1"/>
  </cols>
  <sheetData>
    <row r="1" spans="1:7">
      <c r="A1" s="281"/>
      <c r="B1" s="282" t="s">
        <v>241</v>
      </c>
      <c r="C1" s="282" t="s">
        <v>510</v>
      </c>
      <c r="D1" s="286" t="s">
        <v>511</v>
      </c>
      <c r="E1" s="240"/>
      <c r="F1" s="240"/>
      <c r="G1" s="240"/>
    </row>
    <row r="2" spans="1:7">
      <c r="A2" s="243" t="s">
        <v>242</v>
      </c>
      <c r="B2" s="244">
        <v>5203189</v>
      </c>
      <c r="C2" s="244">
        <v>5203189</v>
      </c>
      <c r="D2" s="245">
        <f>C13</f>
        <v>5707149.5</v>
      </c>
      <c r="E2" s="242"/>
      <c r="F2" s="242"/>
      <c r="G2" s="242"/>
    </row>
    <row r="3" spans="1:7">
      <c r="A3" s="243"/>
      <c r="B3" s="244"/>
      <c r="C3" s="244"/>
      <c r="D3" s="245"/>
      <c r="E3" s="242"/>
      <c r="F3" s="242"/>
      <c r="G3" s="242"/>
    </row>
    <row r="4" spans="1:7">
      <c r="A4" s="246" t="s">
        <v>243</v>
      </c>
      <c r="B4" s="244">
        <v>2300000</v>
      </c>
      <c r="C4" s="244">
        <v>2554951</v>
      </c>
      <c r="D4" s="245">
        <v>2590000</v>
      </c>
      <c r="E4" s="242"/>
      <c r="F4" s="242"/>
      <c r="G4" s="242"/>
    </row>
    <row r="5" spans="1:7">
      <c r="A5" s="289" t="s">
        <v>244</v>
      </c>
      <c r="B5" s="284">
        <f>SUM(B7:B11)</f>
        <v>2290000</v>
      </c>
      <c r="C5" s="284">
        <f>SUM(C7:C11)</f>
        <v>2050990.5</v>
      </c>
      <c r="D5" s="284">
        <f>SUM(D7:D11)</f>
        <v>3059748</v>
      </c>
      <c r="E5" s="242"/>
      <c r="F5" s="242"/>
      <c r="G5" s="242"/>
    </row>
    <row r="6" spans="1:7">
      <c r="A6" s="246" t="s">
        <v>245</v>
      </c>
      <c r="B6" s="244"/>
      <c r="C6" s="244"/>
      <c r="D6" s="245"/>
      <c r="E6" s="242"/>
      <c r="F6" s="242"/>
      <c r="G6" s="242"/>
    </row>
    <row r="7" spans="1:7">
      <c r="A7" s="248" t="s">
        <v>246</v>
      </c>
      <c r="B7" s="244">
        <v>280000</v>
      </c>
      <c r="C7" s="244">
        <v>245168</v>
      </c>
      <c r="D7" s="245">
        <v>200000</v>
      </c>
      <c r="E7" s="242"/>
      <c r="F7" s="242"/>
      <c r="G7" s="242"/>
    </row>
    <row r="8" spans="1:7">
      <c r="A8" s="248" t="s">
        <v>247</v>
      </c>
      <c r="B8" s="244">
        <v>60000</v>
      </c>
      <c r="C8" s="244">
        <v>37884</v>
      </c>
      <c r="D8" s="245">
        <v>60000</v>
      </c>
      <c r="E8" s="242"/>
      <c r="F8" s="242"/>
      <c r="G8" s="242"/>
    </row>
    <row r="9" spans="1:7">
      <c r="A9" s="248" t="s">
        <v>248</v>
      </c>
      <c r="B9" s="244">
        <v>1700000</v>
      </c>
      <c r="C9" s="244">
        <v>1649748</v>
      </c>
      <c r="D9" s="245">
        <v>2649748</v>
      </c>
      <c r="E9" s="242"/>
      <c r="F9" s="242"/>
      <c r="G9" s="242"/>
    </row>
    <row r="10" spans="1:7">
      <c r="A10" s="248" t="s">
        <v>249</v>
      </c>
      <c r="B10" s="244">
        <v>100000</v>
      </c>
      <c r="C10" s="244">
        <v>95574</v>
      </c>
      <c r="D10" s="245">
        <v>100000</v>
      </c>
      <c r="E10" s="242"/>
      <c r="F10" s="242"/>
      <c r="G10" s="242"/>
    </row>
    <row r="11" spans="1:7">
      <c r="A11" s="248" t="s">
        <v>250</v>
      </c>
      <c r="B11" s="244">
        <v>150000</v>
      </c>
      <c r="C11" s="244">
        <v>22616.5</v>
      </c>
      <c r="D11" s="245">
        <v>50000</v>
      </c>
      <c r="E11" s="242"/>
      <c r="F11" s="242"/>
      <c r="G11" s="242"/>
    </row>
    <row r="12" spans="1:7">
      <c r="A12" s="246"/>
      <c r="B12" s="244"/>
      <c r="C12" s="244"/>
      <c r="D12" s="245"/>
      <c r="E12" s="242"/>
      <c r="F12" s="242"/>
      <c r="G12" s="242"/>
    </row>
    <row r="13" spans="1:7" ht="15.75" thickBot="1">
      <c r="A13" s="463" t="s">
        <v>251</v>
      </c>
      <c r="B13" s="464">
        <f>B2+B4-B5</f>
        <v>5213189</v>
      </c>
      <c r="C13" s="464">
        <f t="shared" ref="C13:D13" si="0">C2+C4-C5</f>
        <v>5707149.5</v>
      </c>
      <c r="D13" s="464">
        <f t="shared" si="0"/>
        <v>5237401.5</v>
      </c>
      <c r="E13" s="242"/>
      <c r="F13" s="242"/>
      <c r="G13" s="242"/>
    </row>
    <row r="14" spans="1:7">
      <c r="B14" s="247"/>
      <c r="C14" s="242"/>
      <c r="D14" s="242"/>
      <c r="E14" s="242"/>
      <c r="F14" s="242"/>
      <c r="G14" s="242"/>
    </row>
    <row r="15" spans="1:7">
      <c r="A15" s="240"/>
    </row>
    <row r="16" spans="1:7">
      <c r="A16" s="24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workbookViewId="0">
      <selection activeCell="F14" sqref="F14"/>
    </sheetView>
  </sheetViews>
  <sheetFormatPr defaultColWidth="8.7109375" defaultRowHeight="10.15" customHeight="1"/>
  <cols>
    <col min="1" max="1" width="5.42578125" style="123" customWidth="1"/>
    <col min="2" max="2" width="33.42578125" style="123" customWidth="1"/>
    <col min="3" max="3" width="6.42578125" style="123" customWidth="1"/>
    <col min="4" max="4" width="14.28515625" style="123" customWidth="1"/>
    <col min="5" max="5" width="17.42578125" style="123" bestFit="1" customWidth="1"/>
    <col min="6" max="6" width="20.42578125" style="123" bestFit="1" customWidth="1"/>
    <col min="7" max="16384" width="8.7109375" style="123"/>
  </cols>
  <sheetData>
    <row r="1" spans="1:6" ht="16.5" customHeight="1">
      <c r="A1" s="629" t="s">
        <v>2</v>
      </c>
      <c r="B1" s="630" t="s">
        <v>3</v>
      </c>
      <c r="C1" s="630" t="s">
        <v>4</v>
      </c>
      <c r="D1" s="630" t="s">
        <v>5</v>
      </c>
    </row>
    <row r="2" spans="1:6" ht="16.5" customHeight="1">
      <c r="A2" s="631" t="s">
        <v>6</v>
      </c>
      <c r="B2" s="631" t="s">
        <v>7</v>
      </c>
      <c r="C2" s="631"/>
      <c r="D2" s="632">
        <f>293154+1044587</f>
        <v>1337741</v>
      </c>
      <c r="E2" s="125"/>
      <c r="F2" s="125"/>
    </row>
    <row r="3" spans="1:6" ht="16.5" customHeight="1">
      <c r="A3" s="633" t="s">
        <v>8</v>
      </c>
      <c r="B3" s="633" t="s">
        <v>9</v>
      </c>
      <c r="C3" s="633"/>
      <c r="D3" s="634">
        <v>0</v>
      </c>
      <c r="E3" s="125"/>
      <c r="F3" s="125"/>
    </row>
    <row r="4" spans="1:6" ht="16.5" customHeight="1">
      <c r="A4" s="633" t="s">
        <v>10</v>
      </c>
      <c r="B4" s="633" t="s">
        <v>11</v>
      </c>
      <c r="C4" s="633"/>
      <c r="D4" s="634">
        <v>75004</v>
      </c>
      <c r="E4" s="125"/>
      <c r="F4" s="125"/>
    </row>
    <row r="5" spans="1:6" ht="16.5" customHeight="1">
      <c r="A5" s="633" t="s">
        <v>12</v>
      </c>
      <c r="B5" s="633" t="s">
        <v>13</v>
      </c>
      <c r="C5" s="633"/>
      <c r="D5" s="634">
        <v>207000</v>
      </c>
      <c r="E5" s="125"/>
      <c r="F5" s="125"/>
    </row>
    <row r="6" spans="1:6" ht="16.5" customHeight="1">
      <c r="A6" s="633" t="s">
        <v>14</v>
      </c>
      <c r="B6" s="633" t="s">
        <v>15</v>
      </c>
      <c r="C6" s="633"/>
      <c r="D6" s="634">
        <v>132000</v>
      </c>
      <c r="E6" s="125"/>
      <c r="F6" s="125"/>
    </row>
    <row r="7" spans="1:6" ht="16.5" customHeight="1">
      <c r="A7" s="633" t="s">
        <v>16</v>
      </c>
      <c r="B7" s="633" t="s">
        <v>17</v>
      </c>
      <c r="C7" s="633"/>
      <c r="D7" s="634">
        <f>180000+3209000</f>
        <v>3389000</v>
      </c>
      <c r="E7" s="125"/>
      <c r="F7" s="125"/>
    </row>
    <row r="8" spans="1:6" ht="16.5" customHeight="1">
      <c r="A8" s="633" t="s">
        <v>18</v>
      </c>
      <c r="B8" s="633" t="s">
        <v>19</v>
      </c>
      <c r="C8" s="633"/>
      <c r="D8" s="634">
        <v>34404375</v>
      </c>
      <c r="E8" s="125"/>
      <c r="F8" s="125"/>
    </row>
    <row r="9" spans="1:6" ht="16.5" customHeight="1">
      <c r="A9" s="635">
        <v>521</v>
      </c>
      <c r="B9" s="633" t="s">
        <v>20</v>
      </c>
      <c r="C9" s="633"/>
      <c r="D9" s="634">
        <v>325620</v>
      </c>
      <c r="E9" s="125"/>
      <c r="F9" s="125"/>
    </row>
    <row r="10" spans="1:6" ht="16.5" customHeight="1">
      <c r="A10" s="635">
        <v>521</v>
      </c>
      <c r="B10" s="633" t="s">
        <v>21</v>
      </c>
      <c r="C10" s="633"/>
      <c r="D10" s="634">
        <v>332000</v>
      </c>
      <c r="E10" s="125"/>
      <c r="F10" s="125"/>
    </row>
    <row r="11" spans="1:6" ht="16.5" customHeight="1">
      <c r="A11" s="633" t="s">
        <v>22</v>
      </c>
      <c r="B11" s="633" t="s">
        <v>23</v>
      </c>
      <c r="C11" s="636"/>
      <c r="D11" s="634">
        <f>3126274+8684094</f>
        <v>11810368</v>
      </c>
      <c r="E11" s="125"/>
      <c r="F11" s="125"/>
    </row>
    <row r="12" spans="1:6" ht="16.5" customHeight="1">
      <c r="A12" s="633" t="s">
        <v>24</v>
      </c>
      <c r="B12" s="633" t="s">
        <v>25</v>
      </c>
      <c r="C12" s="636"/>
      <c r="D12" s="634">
        <v>0</v>
      </c>
      <c r="E12" s="125"/>
      <c r="F12" s="125"/>
    </row>
    <row r="13" spans="1:6" ht="16.5" customHeight="1">
      <c r="A13" s="635">
        <v>545</v>
      </c>
      <c r="B13" s="633" t="s">
        <v>516</v>
      </c>
      <c r="C13" s="636"/>
      <c r="D13" s="634">
        <v>400000</v>
      </c>
      <c r="E13" s="125"/>
      <c r="F13" s="125"/>
    </row>
    <row r="14" spans="1:6" ht="16.5" customHeight="1">
      <c r="A14" s="635" t="s">
        <v>26</v>
      </c>
      <c r="B14" s="633" t="s">
        <v>27</v>
      </c>
      <c r="C14" s="636"/>
      <c r="D14" s="634">
        <v>516066</v>
      </c>
      <c r="E14" s="125"/>
      <c r="F14" s="125"/>
    </row>
    <row r="15" spans="1:6" ht="16.5" customHeight="1">
      <c r="A15" s="635"/>
      <c r="B15" s="633"/>
      <c r="C15" s="636"/>
      <c r="D15" s="634">
        <f>SUM(D2:D14)</f>
        <v>52929174</v>
      </c>
      <c r="E15" s="125"/>
      <c r="F15" s="125"/>
    </row>
    <row r="16" spans="1:6" ht="16.5" customHeight="1">
      <c r="A16" s="633" t="s">
        <v>28</v>
      </c>
      <c r="B16" s="633" t="s">
        <v>29</v>
      </c>
      <c r="C16" s="637"/>
      <c r="D16" s="634">
        <v>0</v>
      </c>
      <c r="E16" s="125"/>
      <c r="F16" s="125"/>
    </row>
    <row r="17" spans="1:6" ht="16.5" customHeight="1">
      <c r="A17" s="633" t="s">
        <v>30</v>
      </c>
      <c r="B17" s="633" t="s">
        <v>31</v>
      </c>
      <c r="C17" s="637"/>
      <c r="D17" s="634">
        <v>6612788</v>
      </c>
      <c r="E17" s="125"/>
      <c r="F17" s="125"/>
    </row>
    <row r="18" spans="1:6" ht="16.5" customHeight="1">
      <c r="A18" s="635" t="s">
        <v>32</v>
      </c>
      <c r="B18" s="633" t="s">
        <v>33</v>
      </c>
      <c r="C18" s="637"/>
      <c r="D18" s="634">
        <v>3000</v>
      </c>
      <c r="E18" s="125"/>
      <c r="F18" s="125"/>
    </row>
    <row r="19" spans="1:6" ht="16.5" customHeight="1">
      <c r="A19" s="633" t="s">
        <v>34</v>
      </c>
      <c r="B19" s="633" t="s">
        <v>35</v>
      </c>
      <c r="C19" s="637"/>
      <c r="D19" s="634">
        <v>0</v>
      </c>
      <c r="E19" s="125"/>
      <c r="F19" s="125"/>
    </row>
    <row r="20" spans="1:6" ht="16.5" customHeight="1">
      <c r="A20" s="633"/>
      <c r="B20" s="633" t="s">
        <v>36</v>
      </c>
      <c r="C20" s="633"/>
      <c r="D20" s="634">
        <f>D15+D18</f>
        <v>52932174</v>
      </c>
      <c r="E20" s="125"/>
      <c r="F20" s="125"/>
    </row>
    <row r="21" spans="1:6" ht="16.5" customHeight="1" thickBot="1">
      <c r="A21" s="638"/>
      <c r="B21" s="633" t="s">
        <v>37</v>
      </c>
      <c r="C21" s="633"/>
      <c r="D21" s="634">
        <f>SUM(D16:D17)</f>
        <v>6612788</v>
      </c>
      <c r="E21" s="125"/>
      <c r="F21" s="125"/>
    </row>
    <row r="22" spans="1:6" ht="16.5" customHeight="1">
      <c r="A22" s="639"/>
      <c r="B22" s="640" t="s">
        <v>36</v>
      </c>
      <c r="C22" s="641"/>
      <c r="D22" s="642">
        <f>SUM(D2:D14)+D18</f>
        <v>52932174</v>
      </c>
      <c r="E22" s="124"/>
    </row>
    <row r="23" spans="1:6" ht="16.5" customHeight="1" thickBot="1">
      <c r="A23" s="639"/>
      <c r="B23" s="643" t="s">
        <v>37</v>
      </c>
      <c r="C23" s="644"/>
      <c r="D23" s="645">
        <f>D16+D17+D19</f>
        <v>6612788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Rozpočet FSV</vt:lpstr>
      <vt:lpstr>Rozpis na instituty</vt:lpstr>
      <vt:lpstr>Vzdělávací činnost</vt:lpstr>
      <vt:lpstr>Podpora vědy</vt:lpstr>
      <vt:lpstr>SVV</vt:lpstr>
      <vt:lpstr>Fondy přehled</vt:lpstr>
      <vt:lpstr>Stipendijní fond</vt:lpstr>
      <vt:lpstr>Sociální fond</vt:lpstr>
      <vt:lpstr>Děkanát</vt:lpstr>
      <vt:lpstr>Celofakultní aktivity</vt:lpstr>
      <vt:lpstr>100101</vt:lpstr>
      <vt:lpstr>100106 studentské peníze</vt:lpstr>
      <vt:lpstr>100107_PR</vt:lpstr>
      <vt:lpstr>100030 CVI</vt:lpstr>
      <vt:lpstr>100140 CJP</vt:lpstr>
      <vt:lpstr>100170 CVI</vt:lpstr>
      <vt:lpstr>100180 IT</vt:lpstr>
      <vt:lpstr>100190_FZS</vt:lpstr>
      <vt:lpstr>100198 fakulta</vt:lpstr>
      <vt:lpstr>101040 personáloddělení fakulta</vt:lpstr>
      <vt:lpstr>101100 prostř děkana</vt:lpstr>
      <vt:lpstr>101101 zlaté kurzy</vt:lpstr>
      <vt:lpstr>101111_OV</vt:lpstr>
      <vt:lpstr>101117 SO</vt:lpstr>
      <vt:lpstr>600690 VaVpI</vt:lpstr>
      <vt:lpstr>600691 VaVpI</vt:lpstr>
      <vt:lpstr>VČ_A_data</vt:lpstr>
      <vt:lpstr>VČ_A_data_cizinci</vt:lpstr>
      <vt:lpstr>VČ_A_přehled</vt:lpstr>
      <vt:lpstr>VČ_B_data</vt:lpstr>
      <vt:lpstr>VČ_B_přehled</vt:lpstr>
      <vt:lpstr>VČ_K_data</vt:lpstr>
      <vt:lpstr>VČ_K_data_absolventi</vt:lpstr>
      <vt:lpstr>VČ_K_přehled</vt:lpstr>
      <vt:lpstr>Excel_BuiltIn_Print_Area_8_1</vt:lpstr>
      <vt:lpstr>VČ_A_data_cizinci!Oblast_tisku</vt:lpstr>
      <vt:lpstr>VČ_A_přehled!Oblast_tisku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POKUSNY UCET,ZAM,CIVT</dc:creator>
  <cp:lastModifiedBy>POKUSNY UCET,ZAM,CIVT</cp:lastModifiedBy>
  <cp:lastPrinted>2018-05-25T07:38:23Z</cp:lastPrinted>
  <dcterms:created xsi:type="dcterms:W3CDTF">2017-02-08T08:38:29Z</dcterms:created>
  <dcterms:modified xsi:type="dcterms:W3CDTF">2018-06-25T14:34:05Z</dcterms:modified>
</cp:coreProperties>
</file>